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225" yWindow="285" windowWidth="10830" windowHeight="8865" tabRatio="465" activeTab="3"/>
  </bookViews>
  <sheets>
    <sheet name="(2018)" sheetId="26" r:id="rId1"/>
    <sheet name="(2019)" sheetId="27" r:id="rId2"/>
    <sheet name="(2020)" sheetId="28" r:id="rId3"/>
    <sheet name="(2021)" sheetId="29" r:id="rId4"/>
    <sheet name="Расчет с НДС" sheetId="16" r:id="rId5"/>
    <sheet name="свод" sheetId="30" state="hidden" r:id="rId6"/>
  </sheets>
  <definedNames>
    <definedName name="_xlnm.Print_Titles" localSheetId="0">'(2018)'!$7:$7</definedName>
    <definedName name="_xlnm.Print_Titles" localSheetId="1">'(2019)'!$7:$7</definedName>
    <definedName name="_xlnm.Print_Titles" localSheetId="2">'(2020)'!$7:$7</definedName>
    <definedName name="_xlnm.Print_Titles" localSheetId="3">'(2021)'!$7:$7</definedName>
    <definedName name="_xlnm.Print_Area" localSheetId="0">'(2018)'!$A$1:$R$47</definedName>
    <definedName name="_xlnm.Print_Area" localSheetId="1">'(2019)'!$A$1:$R$47</definedName>
    <definedName name="_xlnm.Print_Area" localSheetId="2">'(2020)'!$A$1:$R$47</definedName>
    <definedName name="_xlnm.Print_Area" localSheetId="3">'(2021)'!$A$1:$R$47</definedName>
  </definedNames>
  <calcPr calcId="152511"/>
</workbook>
</file>

<file path=xl/calcChain.xml><?xml version="1.0" encoding="utf-8"?>
<calcChain xmlns="http://schemas.openxmlformats.org/spreadsheetml/2006/main">
  <c r="B8" i="16" l="1"/>
  <c r="U3" i="16" l="1"/>
  <c r="I5" i="29"/>
  <c r="I5" i="28"/>
  <c r="I5" i="27"/>
  <c r="D5" i="29"/>
  <c r="D5" i="28"/>
  <c r="D5" i="27"/>
  <c r="U8" i="16" l="1"/>
  <c r="V8" i="16" s="1"/>
  <c r="H8" i="16"/>
  <c r="K13" i="27"/>
  <c r="R8" i="16" l="1"/>
  <c r="N16" i="30" l="1"/>
  <c r="H16" i="30" l="1"/>
  <c r="C16" i="30"/>
  <c r="M12" i="30" l="1"/>
  <c r="G16" i="30" l="1"/>
  <c r="B16" i="30"/>
  <c r="M13" i="30" l="1"/>
  <c r="J16" i="30" l="1"/>
  <c r="I16" i="30"/>
  <c r="E16" i="30"/>
  <c r="D16" i="30"/>
  <c r="K15" i="30" l="1"/>
  <c r="K14" i="30"/>
  <c r="K13" i="30"/>
  <c r="K12" i="30"/>
  <c r="F15" i="30"/>
  <c r="F14" i="30"/>
  <c r="F13" i="30"/>
  <c r="F12" i="30"/>
  <c r="K16" i="30" l="1"/>
  <c r="F16" i="30"/>
  <c r="L6" i="30"/>
  <c r="M3" i="30"/>
  <c r="K9" i="30"/>
  <c r="F9" i="30"/>
  <c r="K8" i="30"/>
  <c r="F8" i="30"/>
  <c r="K7" i="30"/>
  <c r="C10" i="30"/>
  <c r="H3" i="30"/>
  <c r="M15" i="30" l="1"/>
  <c r="M14" i="30"/>
  <c r="H10" i="30"/>
  <c r="L10" i="30"/>
  <c r="M16" i="30" l="1"/>
  <c r="L16" i="30"/>
  <c r="Q31" i="29" l="1"/>
  <c r="R31" i="29" s="1"/>
  <c r="R30" i="29"/>
  <c r="L30" i="29"/>
  <c r="L31" i="29" s="1"/>
  <c r="M31" i="29" s="1"/>
  <c r="Q27" i="29"/>
  <c r="R27" i="29" s="1"/>
  <c r="R26" i="29"/>
  <c r="L26" i="29"/>
  <c r="G26" i="29" s="1"/>
  <c r="G27" i="29" s="1"/>
  <c r="H27" i="29" s="1"/>
  <c r="P23" i="29"/>
  <c r="O23" i="29"/>
  <c r="K23" i="29"/>
  <c r="J23" i="29"/>
  <c r="I23" i="29"/>
  <c r="F23" i="29"/>
  <c r="E23" i="29"/>
  <c r="L22" i="29"/>
  <c r="O19" i="29"/>
  <c r="Q15" i="29"/>
  <c r="N15" i="29"/>
  <c r="L15" i="29"/>
  <c r="I15" i="29"/>
  <c r="G15" i="29"/>
  <c r="D15" i="29"/>
  <c r="K14" i="29"/>
  <c r="F14" i="29" s="1"/>
  <c r="J14" i="29"/>
  <c r="E14" i="29" s="1"/>
  <c r="K13" i="29"/>
  <c r="P13" i="29" s="1"/>
  <c r="J13" i="29"/>
  <c r="O13" i="29" s="1"/>
  <c r="K12" i="29"/>
  <c r="P12" i="29" s="1"/>
  <c r="J12" i="29"/>
  <c r="O12" i="29" s="1"/>
  <c r="Q10" i="29"/>
  <c r="P10" i="29"/>
  <c r="O10" i="29"/>
  <c r="L10" i="29"/>
  <c r="K10" i="29"/>
  <c r="J10" i="29"/>
  <c r="I10" i="29"/>
  <c r="G10" i="29"/>
  <c r="F10" i="29"/>
  <c r="E10" i="29"/>
  <c r="N9" i="29"/>
  <c r="N10" i="29" s="1"/>
  <c r="M9" i="29"/>
  <c r="D9" i="29"/>
  <c r="H9" i="29" s="1"/>
  <c r="R10" i="29" l="1"/>
  <c r="F12" i="29"/>
  <c r="E12" i="29"/>
  <c r="H14" i="29"/>
  <c r="G16" i="29"/>
  <c r="G20" i="29" s="1"/>
  <c r="H26" i="29"/>
  <c r="R13" i="29"/>
  <c r="M10" i="29"/>
  <c r="P14" i="29"/>
  <c r="L16" i="29"/>
  <c r="L20" i="29" s="1"/>
  <c r="D10" i="29"/>
  <c r="H10" i="29" s="1"/>
  <c r="R9" i="29"/>
  <c r="M12" i="29"/>
  <c r="P15" i="29"/>
  <c r="P16" i="29" s="1"/>
  <c r="P20" i="29" s="1"/>
  <c r="P24" i="29" s="1"/>
  <c r="P28" i="29" s="1"/>
  <c r="P32" i="29" s="1"/>
  <c r="P34" i="29" s="1"/>
  <c r="P35" i="29" s="1"/>
  <c r="P36" i="29" s="1"/>
  <c r="P37" i="29" s="1"/>
  <c r="P38" i="29" s="1"/>
  <c r="M30" i="29"/>
  <c r="G30" i="29"/>
  <c r="G31" i="29" s="1"/>
  <c r="H31" i="29" s="1"/>
  <c r="E13" i="29"/>
  <c r="F13" i="29"/>
  <c r="F15" i="29" s="1"/>
  <c r="M13" i="29"/>
  <c r="N16" i="29"/>
  <c r="R12" i="29"/>
  <c r="O14" i="29"/>
  <c r="M14" i="29"/>
  <c r="J15" i="29"/>
  <c r="J16" i="29" s="1"/>
  <c r="Q22" i="29"/>
  <c r="Q23" i="29" s="1"/>
  <c r="M22" i="29"/>
  <c r="G22" i="29"/>
  <c r="G23" i="29" s="1"/>
  <c r="L23" i="29"/>
  <c r="K15" i="29"/>
  <c r="K16" i="29" s="1"/>
  <c r="K20" i="29" s="1"/>
  <c r="K24" i="29" s="1"/>
  <c r="K28" i="29" s="1"/>
  <c r="K32" i="29" s="1"/>
  <c r="Q16" i="29"/>
  <c r="Q20" i="29" s="1"/>
  <c r="I16" i="29"/>
  <c r="M26" i="29"/>
  <c r="L27" i="29"/>
  <c r="M27" i="29" s="1"/>
  <c r="G24" i="29" l="1"/>
  <c r="G28" i="29" s="1"/>
  <c r="G32" i="29" s="1"/>
  <c r="G34" i="29" s="1"/>
  <c r="G35" i="29" s="1"/>
  <c r="G38" i="29" s="1"/>
  <c r="H12" i="29"/>
  <c r="D16" i="29"/>
  <c r="D18" i="29" s="1"/>
  <c r="R14" i="29"/>
  <c r="H13" i="29"/>
  <c r="O15" i="29"/>
  <c r="O16" i="29" s="1"/>
  <c r="O20" i="29" s="1"/>
  <c r="O24" i="29" s="1"/>
  <c r="O28" i="29" s="1"/>
  <c r="O32" i="29" s="1"/>
  <c r="L24" i="29"/>
  <c r="L28" i="29" s="1"/>
  <c r="L32" i="29" s="1"/>
  <c r="L34" i="29" s="1"/>
  <c r="L35" i="29" s="1"/>
  <c r="L38" i="29" s="1"/>
  <c r="E15" i="29"/>
  <c r="E16" i="29" s="1"/>
  <c r="E18" i="29" s="1"/>
  <c r="E19" i="29" s="1"/>
  <c r="E20" i="29" s="1"/>
  <c r="E24" i="29" s="1"/>
  <c r="E28" i="29" s="1"/>
  <c r="E32" i="29" s="1"/>
  <c r="F16" i="29"/>
  <c r="F20" i="29" s="1"/>
  <c r="F24" i="29" s="1"/>
  <c r="F28" i="29" s="1"/>
  <c r="F32" i="29" s="1"/>
  <c r="H30" i="29"/>
  <c r="M23" i="29"/>
  <c r="Q24" i="29"/>
  <c r="Q28" i="29" s="1"/>
  <c r="Q32" i="29" s="1"/>
  <c r="Q34" i="29" s="1"/>
  <c r="Q35" i="29" s="1"/>
  <c r="Q36" i="29" s="1"/>
  <c r="Q37" i="29" s="1"/>
  <c r="Q38" i="29" s="1"/>
  <c r="P39" i="29"/>
  <c r="P40" i="29" s="1"/>
  <c r="K34" i="29"/>
  <c r="K35" i="29" s="1"/>
  <c r="K38" i="29" s="1"/>
  <c r="N18" i="29"/>
  <c r="M16" i="29"/>
  <c r="I18" i="29"/>
  <c r="J18" i="29"/>
  <c r="J19" i="29" s="1"/>
  <c r="J20" i="29" s="1"/>
  <c r="J24" i="29" s="1"/>
  <c r="J28" i="29" s="1"/>
  <c r="J32" i="29" s="1"/>
  <c r="M15" i="29"/>
  <c r="H15" i="29" l="1"/>
  <c r="R15" i="29"/>
  <c r="H16" i="29"/>
  <c r="R16" i="29"/>
  <c r="F34" i="29"/>
  <c r="F35" i="29" s="1"/>
  <c r="F38" i="29" s="1"/>
  <c r="F39" i="29" s="1"/>
  <c r="F40" i="29" s="1"/>
  <c r="Q39" i="29"/>
  <c r="Q40" i="29" s="1"/>
  <c r="L39" i="29"/>
  <c r="L40" i="29" s="1"/>
  <c r="G39" i="29"/>
  <c r="G40" i="29" s="1"/>
  <c r="J34" i="29"/>
  <c r="J35" i="29" s="1"/>
  <c r="J38" i="29" s="1"/>
  <c r="K39" i="29"/>
  <c r="K40" i="29" s="1"/>
  <c r="H18" i="29"/>
  <c r="D19" i="29"/>
  <c r="E34" i="29"/>
  <c r="E35" i="29" s="1"/>
  <c r="E38" i="29" s="1"/>
  <c r="N19" i="29"/>
  <c r="R18" i="29"/>
  <c r="M18" i="29"/>
  <c r="I19" i="29"/>
  <c r="O34" i="29"/>
  <c r="O35" i="29" s="1"/>
  <c r="O36" i="29" s="1"/>
  <c r="O37" i="29" s="1"/>
  <c r="O38" i="29" s="1"/>
  <c r="E39" i="29" l="1"/>
  <c r="E40" i="29" s="1"/>
  <c r="J39" i="29"/>
  <c r="J40" i="29" s="1"/>
  <c r="H19" i="29"/>
  <c r="D20" i="29"/>
  <c r="O39" i="29"/>
  <c r="O40" i="29" s="1"/>
  <c r="R19" i="29"/>
  <c r="N20" i="29"/>
  <c r="M19" i="29"/>
  <c r="M24" i="29" s="1"/>
  <c r="I20" i="29"/>
  <c r="N22" i="29" l="1"/>
  <c r="R20" i="29"/>
  <c r="H20" i="29"/>
  <c r="D22" i="29"/>
  <c r="M20" i="29"/>
  <c r="I24" i="29"/>
  <c r="I28" i="29" s="1"/>
  <c r="M28" i="29" l="1"/>
  <c r="I32" i="29"/>
  <c r="N23" i="29"/>
  <c r="R22" i="29"/>
  <c r="H22" i="29"/>
  <c r="D23" i="29"/>
  <c r="R23" i="29" l="1"/>
  <c r="R24" i="29" s="1"/>
  <c r="N24" i="29"/>
  <c r="N28" i="29" s="1"/>
  <c r="H23" i="29"/>
  <c r="H24" i="29" s="1"/>
  <c r="D24" i="29"/>
  <c r="D28" i="29" s="1"/>
  <c r="M32" i="29"/>
  <c r="I34" i="29"/>
  <c r="M34" i="29" s="1"/>
  <c r="N32" i="29" l="1"/>
  <c r="R28" i="29"/>
  <c r="H28" i="29"/>
  <c r="D32" i="29"/>
  <c r="I35" i="29"/>
  <c r="M35" i="29" l="1"/>
  <c r="I38" i="29"/>
  <c r="D34" i="29"/>
  <c r="H34" i="29" s="1"/>
  <c r="H32" i="29"/>
  <c r="N34" i="29"/>
  <c r="R34" i="29" s="1"/>
  <c r="R32" i="29"/>
  <c r="N35" i="29" l="1"/>
  <c r="R35" i="29" s="1"/>
  <c r="N9" i="30" s="1"/>
  <c r="D35" i="29"/>
  <c r="D38" i="29" s="1"/>
  <c r="I39" i="29"/>
  <c r="M39" i="29" s="1"/>
  <c r="M38" i="29"/>
  <c r="N36" i="29" l="1"/>
  <c r="N37" i="29" s="1"/>
  <c r="H35" i="29"/>
  <c r="H38" i="29"/>
  <c r="D39" i="29"/>
  <c r="H39" i="29" s="1"/>
  <c r="I40" i="29"/>
  <c r="M40" i="29" s="1"/>
  <c r="R36" i="29"/>
  <c r="D40" i="29" l="1"/>
  <c r="H40" i="29" s="1"/>
  <c r="R37" i="29"/>
  <c r="N38" i="29"/>
  <c r="R38" i="29" l="1"/>
  <c r="T16" i="29" s="1"/>
  <c r="N39" i="29"/>
  <c r="R39" i="29" s="1"/>
  <c r="N40" i="29" l="1"/>
  <c r="R40" i="29" s="1"/>
  <c r="Q31" i="28" l="1"/>
  <c r="R31" i="28" s="1"/>
  <c r="R30" i="28"/>
  <c r="L30" i="28"/>
  <c r="G30" i="28" s="1"/>
  <c r="G31" i="28" s="1"/>
  <c r="H31" i="28" s="1"/>
  <c r="Q27" i="28"/>
  <c r="R27" i="28" s="1"/>
  <c r="R26" i="28"/>
  <c r="L26" i="28"/>
  <c r="G26" i="28" s="1"/>
  <c r="G27" i="28" s="1"/>
  <c r="H27" i="28" s="1"/>
  <c r="P23" i="28"/>
  <c r="O23" i="28"/>
  <c r="K23" i="28"/>
  <c r="J23" i="28"/>
  <c r="I23" i="28"/>
  <c r="F23" i="28"/>
  <c r="E23" i="28"/>
  <c r="L22" i="28"/>
  <c r="O19" i="28"/>
  <c r="Q15" i="28"/>
  <c r="N15" i="28"/>
  <c r="L15" i="28"/>
  <c r="I15" i="28"/>
  <c r="G15" i="28"/>
  <c r="D15" i="28"/>
  <c r="K14" i="28"/>
  <c r="F14" i="28" s="1"/>
  <c r="J14" i="28"/>
  <c r="E14" i="28" s="1"/>
  <c r="K13" i="28"/>
  <c r="P13" i="28" s="1"/>
  <c r="J13" i="28"/>
  <c r="O13" i="28" s="1"/>
  <c r="K12" i="28"/>
  <c r="P12" i="28" s="1"/>
  <c r="J12" i="28"/>
  <c r="O12" i="28" s="1"/>
  <c r="Q10" i="28"/>
  <c r="P10" i="28"/>
  <c r="O10" i="28"/>
  <c r="L10" i="28"/>
  <c r="K10" i="28"/>
  <c r="J10" i="28"/>
  <c r="I10" i="28"/>
  <c r="G10" i="28"/>
  <c r="F10" i="28"/>
  <c r="E10" i="28"/>
  <c r="N9" i="28"/>
  <c r="R9" i="28" s="1"/>
  <c r="M9" i="28"/>
  <c r="D9" i="28"/>
  <c r="H9" i="28" s="1"/>
  <c r="E13" i="28" l="1"/>
  <c r="E15" i="28" s="1"/>
  <c r="E16" i="28" s="1"/>
  <c r="R13" i="28"/>
  <c r="E12" i="28"/>
  <c r="M13" i="28"/>
  <c r="G16" i="28"/>
  <c r="G20" i="28" s="1"/>
  <c r="M10" i="28"/>
  <c r="F12" i="28"/>
  <c r="D10" i="28"/>
  <c r="H10" i="28" s="1"/>
  <c r="P14" i="28"/>
  <c r="M12" i="28"/>
  <c r="H26" i="28"/>
  <c r="M30" i="28"/>
  <c r="P15" i="28"/>
  <c r="P16" i="28" s="1"/>
  <c r="P20" i="28" s="1"/>
  <c r="P24" i="28" s="1"/>
  <c r="P28" i="28" s="1"/>
  <c r="P32" i="28" s="1"/>
  <c r="P34" i="28" s="1"/>
  <c r="P35" i="28" s="1"/>
  <c r="P36" i="28" s="1"/>
  <c r="P37" i="28" s="1"/>
  <c r="P38" i="28" s="1"/>
  <c r="L16" i="28"/>
  <c r="L20" i="28" s="1"/>
  <c r="F13" i="28"/>
  <c r="L31" i="28"/>
  <c r="M31" i="28" s="1"/>
  <c r="H14" i="28"/>
  <c r="H12" i="28"/>
  <c r="R12" i="28"/>
  <c r="O14" i="28"/>
  <c r="O15" i="28" s="1"/>
  <c r="M14" i="28"/>
  <c r="J15" i="28"/>
  <c r="J16" i="28" s="1"/>
  <c r="Q22" i="28"/>
  <c r="Q23" i="28" s="1"/>
  <c r="M22" i="28"/>
  <c r="G22" i="28"/>
  <c r="G23" i="28" s="1"/>
  <c r="L23" i="28"/>
  <c r="K15" i="28"/>
  <c r="K16" i="28" s="1"/>
  <c r="K20" i="28" s="1"/>
  <c r="K24" i="28" s="1"/>
  <c r="K28" i="28" s="1"/>
  <c r="K32" i="28" s="1"/>
  <c r="Q16" i="28"/>
  <c r="Q20" i="28" s="1"/>
  <c r="N10" i="28"/>
  <c r="R10" i="28" s="1"/>
  <c r="I16" i="28"/>
  <c r="M26" i="28"/>
  <c r="L27" i="28"/>
  <c r="M27" i="28" s="1"/>
  <c r="H30" i="28"/>
  <c r="L24" i="28" l="1"/>
  <c r="L28" i="28" s="1"/>
  <c r="L32" i="28" s="1"/>
  <c r="L34" i="28" s="1"/>
  <c r="L35" i="28" s="1"/>
  <c r="L38" i="28" s="1"/>
  <c r="F15" i="28"/>
  <c r="F16" i="28" s="1"/>
  <c r="F20" i="28" s="1"/>
  <c r="F24" i="28" s="1"/>
  <c r="F28" i="28" s="1"/>
  <c r="F32" i="28" s="1"/>
  <c r="F34" i="28" s="1"/>
  <c r="F35" i="28" s="1"/>
  <c r="F38" i="28" s="1"/>
  <c r="F39" i="28" s="1"/>
  <c r="F40" i="28" s="1"/>
  <c r="D16" i="28"/>
  <c r="D18" i="28" s="1"/>
  <c r="N16" i="28"/>
  <c r="N18" i="28" s="1"/>
  <c r="G24" i="28"/>
  <c r="G28" i="28" s="1"/>
  <c r="G32" i="28" s="1"/>
  <c r="G34" i="28" s="1"/>
  <c r="Q24" i="28"/>
  <c r="Q28" i="28" s="1"/>
  <c r="Q32" i="28" s="1"/>
  <c r="Q34" i="28" s="1"/>
  <c r="Q35" i="28" s="1"/>
  <c r="Q36" i="28" s="1"/>
  <c r="Q37" i="28" s="1"/>
  <c r="Q38" i="28" s="1"/>
  <c r="R14" i="28"/>
  <c r="H13" i="28"/>
  <c r="O16" i="28"/>
  <c r="O20" i="28" s="1"/>
  <c r="O24" i="28" s="1"/>
  <c r="O28" i="28" s="1"/>
  <c r="O32" i="28" s="1"/>
  <c r="R15" i="28"/>
  <c r="K34" i="28"/>
  <c r="K35" i="28" s="1"/>
  <c r="K38" i="28" s="1"/>
  <c r="M15" i="28"/>
  <c r="M23" i="28"/>
  <c r="E18" i="28"/>
  <c r="E19" i="28" s="1"/>
  <c r="E20" i="28" s="1"/>
  <c r="E24" i="28" s="1"/>
  <c r="E28" i="28" s="1"/>
  <c r="E32" i="28" s="1"/>
  <c r="P39" i="28"/>
  <c r="P40" i="28" s="1"/>
  <c r="M16" i="28"/>
  <c r="I18" i="28"/>
  <c r="J18" i="28"/>
  <c r="J19" i="28" s="1"/>
  <c r="J20" i="28" s="1"/>
  <c r="J24" i="28" s="1"/>
  <c r="J28" i="28" s="1"/>
  <c r="J32" i="28" s="1"/>
  <c r="H15" i="28" l="1"/>
  <c r="G35" i="28"/>
  <c r="G38" i="28" s="1"/>
  <c r="G39" i="28" s="1"/>
  <c r="G40" i="28" s="1"/>
  <c r="H16" i="28"/>
  <c r="R16" i="28"/>
  <c r="Q39" i="28"/>
  <c r="Q40" i="28" s="1"/>
  <c r="K39" i="28"/>
  <c r="K40" i="28" s="1"/>
  <c r="E34" i="28"/>
  <c r="E35" i="28" s="1"/>
  <c r="E38" i="28" s="1"/>
  <c r="J34" i="28"/>
  <c r="J35" i="28" s="1"/>
  <c r="J38" i="28" s="1"/>
  <c r="M18" i="28"/>
  <c r="I19" i="28"/>
  <c r="O34" i="28"/>
  <c r="O35" i="28" s="1"/>
  <c r="O36" i="28" s="1"/>
  <c r="O37" i="28" s="1"/>
  <c r="O38" i="28" s="1"/>
  <c r="N19" i="28"/>
  <c r="R18" i="28"/>
  <c r="H18" i="28"/>
  <c r="D19" i="28"/>
  <c r="L39" i="28"/>
  <c r="L40" i="28" s="1"/>
  <c r="E39" i="28" l="1"/>
  <c r="E40" i="28" s="1"/>
  <c r="O39" i="28"/>
  <c r="O40" i="28" s="1"/>
  <c r="M19" i="28"/>
  <c r="M24" i="28" s="1"/>
  <c r="I20" i="28"/>
  <c r="J39" i="28"/>
  <c r="J40" i="28" s="1"/>
  <c r="R19" i="28"/>
  <c r="N20" i="28"/>
  <c r="H19" i="28"/>
  <c r="D20" i="28"/>
  <c r="M20" i="28" l="1"/>
  <c r="I24" i="28"/>
  <c r="I28" i="28" s="1"/>
  <c r="H20" i="28"/>
  <c r="D22" i="28"/>
  <c r="N22" i="28"/>
  <c r="R20" i="28"/>
  <c r="N23" i="28" l="1"/>
  <c r="R22" i="28"/>
  <c r="M28" i="28"/>
  <c r="I32" i="28"/>
  <c r="H22" i="28"/>
  <c r="D23" i="28"/>
  <c r="M32" i="28" l="1"/>
  <c r="I34" i="28"/>
  <c r="M34" i="28" s="1"/>
  <c r="H23" i="28"/>
  <c r="H24" i="28" s="1"/>
  <c r="D24" i="28"/>
  <c r="D28" i="28" s="1"/>
  <c r="R23" i="28"/>
  <c r="R24" i="28" s="1"/>
  <c r="N24" i="28"/>
  <c r="N28" i="28" s="1"/>
  <c r="N32" i="28" l="1"/>
  <c r="R28" i="28"/>
  <c r="H28" i="28"/>
  <c r="D32" i="28"/>
  <c r="I35" i="28"/>
  <c r="D34" i="28" l="1"/>
  <c r="H34" i="28" s="1"/>
  <c r="H32" i="28"/>
  <c r="M35" i="28"/>
  <c r="I38" i="28"/>
  <c r="R32" i="28"/>
  <c r="N34" i="28"/>
  <c r="R34" i="28" s="1"/>
  <c r="N35" i="28" l="1"/>
  <c r="R35" i="28" s="1"/>
  <c r="N8" i="30" s="1"/>
  <c r="N36" i="28"/>
  <c r="D35" i="28"/>
  <c r="I39" i="28"/>
  <c r="M39" i="28" s="1"/>
  <c r="M38" i="28"/>
  <c r="D38" i="28" l="1"/>
  <c r="H35" i="28"/>
  <c r="I40" i="28"/>
  <c r="M40" i="28" s="1"/>
  <c r="R36" i="28"/>
  <c r="N37" i="28"/>
  <c r="R37" i="28" l="1"/>
  <c r="N38" i="28"/>
  <c r="H38" i="28"/>
  <c r="D39" i="28"/>
  <c r="H39" i="28" s="1"/>
  <c r="D40" i="28" l="1"/>
  <c r="H40" i="28" s="1"/>
  <c r="R38" i="28"/>
  <c r="N39" i="28"/>
  <c r="R39" i="28" s="1"/>
  <c r="T16" i="28" l="1"/>
  <c r="N40" i="28"/>
  <c r="R40" i="28" s="1"/>
  <c r="Q31" i="27" l="1"/>
  <c r="R31" i="27" s="1"/>
  <c r="R30" i="27"/>
  <c r="L30" i="27"/>
  <c r="L31" i="27" s="1"/>
  <c r="M31" i="27" s="1"/>
  <c r="Q27" i="27"/>
  <c r="R27" i="27" s="1"/>
  <c r="R26" i="27"/>
  <c r="L26" i="27"/>
  <c r="G26" i="27" s="1"/>
  <c r="P23" i="27"/>
  <c r="O23" i="27"/>
  <c r="K23" i="27"/>
  <c r="J23" i="27"/>
  <c r="I23" i="27"/>
  <c r="F23" i="27"/>
  <c r="E23" i="27"/>
  <c r="L22" i="27"/>
  <c r="Q22" i="27" s="1"/>
  <c r="Q23" i="27" s="1"/>
  <c r="O19" i="27"/>
  <c r="Q15" i="27"/>
  <c r="N15" i="27"/>
  <c r="L15" i="27"/>
  <c r="I15" i="27"/>
  <c r="G15" i="27"/>
  <c r="D15" i="27"/>
  <c r="K14" i="27"/>
  <c r="P14" i="27" s="1"/>
  <c r="J14" i="27"/>
  <c r="J13" i="27"/>
  <c r="O13" i="27" s="1"/>
  <c r="K12" i="27"/>
  <c r="P12" i="27" s="1"/>
  <c r="J12" i="27"/>
  <c r="O12" i="27" s="1"/>
  <c r="Q10" i="27"/>
  <c r="P10" i="27"/>
  <c r="O10" i="27"/>
  <c r="L10" i="27"/>
  <c r="K10" i="27"/>
  <c r="J10" i="27"/>
  <c r="I10" i="27"/>
  <c r="G10" i="27"/>
  <c r="F10" i="27"/>
  <c r="E10" i="27"/>
  <c r="N9" i="27"/>
  <c r="R9" i="27" s="1"/>
  <c r="M9" i="27"/>
  <c r="D9" i="27"/>
  <c r="D10" i="27" s="1"/>
  <c r="F12" i="27" l="1"/>
  <c r="F14" i="27"/>
  <c r="M10" i="27"/>
  <c r="G30" i="27"/>
  <c r="G31" i="27" s="1"/>
  <c r="H31" i="27" s="1"/>
  <c r="G16" i="27"/>
  <c r="G20" i="27" s="1"/>
  <c r="Q16" i="27"/>
  <c r="Q20" i="27" s="1"/>
  <c r="Q24" i="27" s="1"/>
  <c r="Q28" i="27" s="1"/>
  <c r="Q32" i="27" s="1"/>
  <c r="Q34" i="27" s="1"/>
  <c r="Q35" i="27" s="1"/>
  <c r="Q36" i="27" s="1"/>
  <c r="Q37" i="27" s="1"/>
  <c r="Q38" i="27" s="1"/>
  <c r="H10" i="27"/>
  <c r="E12" i="27"/>
  <c r="H9" i="27"/>
  <c r="M23" i="27"/>
  <c r="L23" i="27"/>
  <c r="M22" i="27"/>
  <c r="M12" i="27"/>
  <c r="E13" i="27"/>
  <c r="P13" i="27"/>
  <c r="R13" i="27" s="1"/>
  <c r="F13" i="27"/>
  <c r="L16" i="27"/>
  <c r="L20" i="27" s="1"/>
  <c r="P15" i="27"/>
  <c r="P16" i="27" s="1"/>
  <c r="P20" i="27" s="1"/>
  <c r="P24" i="27" s="1"/>
  <c r="P28" i="27" s="1"/>
  <c r="P32" i="27" s="1"/>
  <c r="G27" i="27"/>
  <c r="H27" i="27" s="1"/>
  <c r="H26" i="27"/>
  <c r="R12" i="27"/>
  <c r="O14" i="27"/>
  <c r="R14" i="27" s="1"/>
  <c r="M14" i="27"/>
  <c r="E14" i="27"/>
  <c r="J15" i="27"/>
  <c r="J16" i="27" s="1"/>
  <c r="H12" i="27"/>
  <c r="M13" i="27"/>
  <c r="K15" i="27"/>
  <c r="K16" i="27" s="1"/>
  <c r="K20" i="27" s="1"/>
  <c r="K24" i="27" s="1"/>
  <c r="K28" i="27" s="1"/>
  <c r="K32" i="27" s="1"/>
  <c r="D16" i="27"/>
  <c r="G22" i="27"/>
  <c r="G23" i="27" s="1"/>
  <c r="G24" i="27" s="1"/>
  <c r="G28" i="27" s="1"/>
  <c r="G32" i="27" s="1"/>
  <c r="M26" i="27"/>
  <c r="L27" i="27"/>
  <c r="M27" i="27" s="1"/>
  <c r="N10" i="27"/>
  <c r="R10" i="27" s="1"/>
  <c r="I16" i="27"/>
  <c r="M30" i="27"/>
  <c r="F15" i="27" l="1"/>
  <c r="F16" i="27" s="1"/>
  <c r="F20" i="27" s="1"/>
  <c r="F24" i="27" s="1"/>
  <c r="F28" i="27" s="1"/>
  <c r="F32" i="27" s="1"/>
  <c r="H14" i="27"/>
  <c r="L24" i="27"/>
  <c r="L28" i="27" s="1"/>
  <c r="L32" i="27" s="1"/>
  <c r="H30" i="27"/>
  <c r="H13" i="27"/>
  <c r="M15" i="27"/>
  <c r="O15" i="27"/>
  <c r="Q39" i="27"/>
  <c r="Q40" i="27" s="1"/>
  <c r="F34" i="27"/>
  <c r="F35" i="27" s="1"/>
  <c r="F38" i="27" s="1"/>
  <c r="I18" i="27"/>
  <c r="M16" i="27"/>
  <c r="K34" i="27"/>
  <c r="K35" i="27" s="1"/>
  <c r="K38" i="27" s="1"/>
  <c r="N16" i="27"/>
  <c r="P34" i="27"/>
  <c r="P35" i="27" s="1"/>
  <c r="P36" i="27" s="1"/>
  <c r="D18" i="27"/>
  <c r="J18" i="27"/>
  <c r="J19" i="27" s="1"/>
  <c r="J20" i="27" s="1"/>
  <c r="J24" i="27" s="1"/>
  <c r="J28" i="27" s="1"/>
  <c r="J32" i="27" s="1"/>
  <c r="G34" i="27"/>
  <c r="G35" i="27" s="1"/>
  <c r="G38" i="27" s="1"/>
  <c r="E15" i="27"/>
  <c r="P37" i="27" l="1"/>
  <c r="P38" i="27" s="1"/>
  <c r="D7" i="30"/>
  <c r="O16" i="27"/>
  <c r="O20" i="27" s="1"/>
  <c r="O24" i="27" s="1"/>
  <c r="O28" i="27" s="1"/>
  <c r="O32" i="27" s="1"/>
  <c r="R15" i="27"/>
  <c r="J34" i="27"/>
  <c r="J35" i="27" s="1"/>
  <c r="J38" i="27" s="1"/>
  <c r="G39" i="27"/>
  <c r="G40" i="27" s="1"/>
  <c r="F39" i="27"/>
  <c r="F40" i="27" s="1"/>
  <c r="R16" i="27"/>
  <c r="N18" i="27"/>
  <c r="D19" i="27"/>
  <c r="L34" i="27"/>
  <c r="L35" i="27" s="1"/>
  <c r="L38" i="27" s="1"/>
  <c r="K39" i="27"/>
  <c r="K40" i="27" s="1"/>
  <c r="I19" i="27"/>
  <c r="M18" i="27"/>
  <c r="E16" i="27"/>
  <c r="H15" i="27"/>
  <c r="P39" i="27" l="1"/>
  <c r="P40" i="27" s="1"/>
  <c r="O34" i="27"/>
  <c r="O35" i="27" s="1"/>
  <c r="O36" i="27" s="1"/>
  <c r="O37" i="27" s="1"/>
  <c r="O38" i="27" s="1"/>
  <c r="L39" i="27"/>
  <c r="L40" i="27" s="1"/>
  <c r="J39" i="27"/>
  <c r="J40" i="27" s="1"/>
  <c r="D20" i="27"/>
  <c r="M19" i="27"/>
  <c r="M24" i="27" s="1"/>
  <c r="I20" i="27"/>
  <c r="E18" i="27"/>
  <c r="H16" i="27"/>
  <c r="R18" i="27"/>
  <c r="N19" i="27"/>
  <c r="O39" i="27" l="1"/>
  <c r="O40" i="27" s="1"/>
  <c r="E19" i="27"/>
  <c r="H18" i="27"/>
  <c r="D22" i="27"/>
  <c r="R19" i="27"/>
  <c r="N20" i="27"/>
  <c r="M20" i="27"/>
  <c r="I24" i="27"/>
  <c r="I28" i="27" s="1"/>
  <c r="H22" i="27" l="1"/>
  <c r="D23" i="27"/>
  <c r="R20" i="27"/>
  <c r="N22" i="27"/>
  <c r="I32" i="27"/>
  <c r="M28" i="27"/>
  <c r="H19" i="27"/>
  <c r="E20" i="27"/>
  <c r="I34" i="27" l="1"/>
  <c r="M34" i="27" s="1"/>
  <c r="M32" i="27"/>
  <c r="H23" i="27"/>
  <c r="H24" i="27" s="1"/>
  <c r="D24" i="27"/>
  <c r="D28" i="27" s="1"/>
  <c r="E24" i="27"/>
  <c r="E28" i="27" s="1"/>
  <c r="E32" i="27" s="1"/>
  <c r="H20" i="27"/>
  <c r="R22" i="27"/>
  <c r="N23" i="27"/>
  <c r="R23" i="27" l="1"/>
  <c r="R24" i="27" s="1"/>
  <c r="N24" i="27"/>
  <c r="N28" i="27" s="1"/>
  <c r="E34" i="27"/>
  <c r="E35" i="27"/>
  <c r="E38" i="27" s="1"/>
  <c r="I35" i="27"/>
  <c r="D32" i="27"/>
  <c r="H28" i="27"/>
  <c r="E39" i="27" l="1"/>
  <c r="E40" i="27" s="1"/>
  <c r="H32" i="27"/>
  <c r="D34" i="27"/>
  <c r="H34" i="27" s="1"/>
  <c r="R28" i="27"/>
  <c r="N32" i="27"/>
  <c r="I38" i="27"/>
  <c r="M35" i="27"/>
  <c r="R32" i="27" l="1"/>
  <c r="N34" i="27"/>
  <c r="R34" i="27" s="1"/>
  <c r="I39" i="27"/>
  <c r="M39" i="27" s="1"/>
  <c r="M38" i="27"/>
  <c r="D35" i="27"/>
  <c r="D38" i="27" l="1"/>
  <c r="H35" i="27"/>
  <c r="I40" i="27"/>
  <c r="M40" i="27" s="1"/>
  <c r="N35" i="27"/>
  <c r="R35" i="27" l="1"/>
  <c r="N7" i="30" s="1"/>
  <c r="N36" i="27"/>
  <c r="D39" i="27"/>
  <c r="H39" i="27" s="1"/>
  <c r="H38" i="27"/>
  <c r="D40" i="27" l="1"/>
  <c r="H40" i="27" s="1"/>
  <c r="N37" i="27"/>
  <c r="R36" i="27"/>
  <c r="B7" i="30" s="1"/>
  <c r="F7" i="30" s="1"/>
  <c r="N38" i="27" l="1"/>
  <c r="R37" i="27"/>
  <c r="R38" i="27" l="1"/>
  <c r="N39" i="27"/>
  <c r="R39" i="27" s="1"/>
  <c r="S38" i="27" l="1"/>
  <c r="N40" i="27"/>
  <c r="R40" i="27" s="1"/>
  <c r="Q31" i="26" l="1"/>
  <c r="R31" i="26" s="1"/>
  <c r="R30" i="26"/>
  <c r="L30" i="26"/>
  <c r="L31" i="26" s="1"/>
  <c r="M31" i="26" s="1"/>
  <c r="Q27" i="26"/>
  <c r="R27" i="26" s="1"/>
  <c r="R26" i="26"/>
  <c r="L26" i="26"/>
  <c r="G26" i="26" s="1"/>
  <c r="G27" i="26" s="1"/>
  <c r="H27" i="26" s="1"/>
  <c r="P23" i="26"/>
  <c r="O23" i="26"/>
  <c r="K23" i="26"/>
  <c r="J23" i="26"/>
  <c r="I23" i="26"/>
  <c r="F23" i="26"/>
  <c r="E23" i="26"/>
  <c r="L22" i="26"/>
  <c r="M22" i="26" s="1"/>
  <c r="Q15" i="26"/>
  <c r="N15" i="26"/>
  <c r="L15" i="26"/>
  <c r="I15" i="26"/>
  <c r="G15" i="26"/>
  <c r="D15" i="26"/>
  <c r="K14" i="26"/>
  <c r="F14" i="26" s="1"/>
  <c r="J14" i="26"/>
  <c r="E14" i="26" s="1"/>
  <c r="K13" i="26"/>
  <c r="P13" i="26" s="1"/>
  <c r="J13" i="26"/>
  <c r="O13" i="26" s="1"/>
  <c r="R13" i="26" s="1"/>
  <c r="K12" i="26"/>
  <c r="P12" i="26" s="1"/>
  <c r="J12" i="26"/>
  <c r="O12" i="26" s="1"/>
  <c r="Q10" i="26"/>
  <c r="P10" i="26"/>
  <c r="O10" i="26"/>
  <c r="L10" i="26"/>
  <c r="K10" i="26"/>
  <c r="J10" i="26"/>
  <c r="I10" i="26"/>
  <c r="G10" i="26"/>
  <c r="F10" i="26"/>
  <c r="E10" i="26"/>
  <c r="N9" i="26"/>
  <c r="N10" i="26" s="1"/>
  <c r="M9" i="26"/>
  <c r="D9" i="26"/>
  <c r="D10" i="26" s="1"/>
  <c r="F12" i="26" l="1"/>
  <c r="G16" i="26"/>
  <c r="G20" i="26" s="1"/>
  <c r="R10" i="26"/>
  <c r="M10" i="26"/>
  <c r="H14" i="26"/>
  <c r="H26" i="26"/>
  <c r="D16" i="26"/>
  <c r="D18" i="26" s="1"/>
  <c r="D19" i="26" s="1"/>
  <c r="D20" i="26" s="1"/>
  <c r="H10" i="26"/>
  <c r="E12" i="26"/>
  <c r="F13" i="26"/>
  <c r="F15" i="26" s="1"/>
  <c r="F16" i="26" s="1"/>
  <c r="F20" i="26" s="1"/>
  <c r="F24" i="26" s="1"/>
  <c r="F28" i="26" s="1"/>
  <c r="F32" i="26" s="1"/>
  <c r="F34" i="26" s="1"/>
  <c r="F35" i="26" s="1"/>
  <c r="F38" i="26" s="1"/>
  <c r="L16" i="26"/>
  <c r="L20" i="26" s="1"/>
  <c r="H9" i="26"/>
  <c r="R9" i="26"/>
  <c r="L23" i="26"/>
  <c r="M23" i="26" s="1"/>
  <c r="E13" i="26"/>
  <c r="M30" i="26"/>
  <c r="M12" i="26"/>
  <c r="G30" i="26"/>
  <c r="G31" i="26" s="1"/>
  <c r="H31" i="26" s="1"/>
  <c r="P14" i="26"/>
  <c r="P15" i="26" s="1"/>
  <c r="P16" i="26" s="1"/>
  <c r="P20" i="26" s="1"/>
  <c r="P24" i="26" s="1"/>
  <c r="P28" i="26" s="1"/>
  <c r="P32" i="26" s="1"/>
  <c r="P34" i="26" s="1"/>
  <c r="P35" i="26" s="1"/>
  <c r="P36" i="26" s="1"/>
  <c r="M13" i="26"/>
  <c r="H12" i="26"/>
  <c r="R12" i="26"/>
  <c r="O14" i="26"/>
  <c r="R14" i="26" s="1"/>
  <c r="M14" i="26"/>
  <c r="J15" i="26"/>
  <c r="J16" i="26" s="1"/>
  <c r="Q22" i="26"/>
  <c r="Q23" i="26" s="1"/>
  <c r="G22" i="26"/>
  <c r="G23" i="26" s="1"/>
  <c r="N16" i="26"/>
  <c r="K15" i="26"/>
  <c r="K16" i="26" s="1"/>
  <c r="K20" i="26" s="1"/>
  <c r="K24" i="26" s="1"/>
  <c r="K28" i="26" s="1"/>
  <c r="K32" i="26" s="1"/>
  <c r="Q16" i="26"/>
  <c r="Q20" i="26" s="1"/>
  <c r="I16" i="26"/>
  <c r="M26" i="26"/>
  <c r="L27" i="26"/>
  <c r="M27" i="26" s="1"/>
  <c r="G24" i="26" l="1"/>
  <c r="G28" i="26" s="1"/>
  <c r="G32" i="26" s="1"/>
  <c r="G34" i="26" s="1"/>
  <c r="G35" i="26" s="1"/>
  <c r="G38" i="26" s="1"/>
  <c r="E15" i="26"/>
  <c r="H15" i="26" s="1"/>
  <c r="O15" i="26"/>
  <c r="H13" i="26"/>
  <c r="L24" i="26"/>
  <c r="L28" i="26" s="1"/>
  <c r="L32" i="26" s="1"/>
  <c r="L34" i="26" s="1"/>
  <c r="L35" i="26" s="1"/>
  <c r="L38" i="26" s="1"/>
  <c r="P37" i="26"/>
  <c r="P38" i="26" s="1"/>
  <c r="I6" i="30" s="1"/>
  <c r="D6" i="30"/>
  <c r="Q24" i="26"/>
  <c r="Q28" i="26" s="1"/>
  <c r="Q32" i="26" s="1"/>
  <c r="Q34" i="26" s="1"/>
  <c r="Q35" i="26" s="1"/>
  <c r="Q36" i="26" s="1"/>
  <c r="Q37" i="26" s="1"/>
  <c r="Q38" i="26" s="1"/>
  <c r="H30" i="26"/>
  <c r="F39" i="26"/>
  <c r="F40" i="26" s="1"/>
  <c r="J18" i="26"/>
  <c r="J19" i="26" s="1"/>
  <c r="J20" i="26" s="1"/>
  <c r="J24" i="26" s="1"/>
  <c r="J28" i="26" s="1"/>
  <c r="J32" i="26" s="1"/>
  <c r="R15" i="26"/>
  <c r="O16" i="26"/>
  <c r="R16" i="26" s="1"/>
  <c r="D22" i="26"/>
  <c r="K34" i="26"/>
  <c r="K35" i="26" s="1"/>
  <c r="K38" i="26" s="1"/>
  <c r="M15" i="26"/>
  <c r="I18" i="26"/>
  <c r="M16" i="26"/>
  <c r="N18" i="26"/>
  <c r="E16" i="26" l="1"/>
  <c r="P39" i="26"/>
  <c r="P40" i="26" s="1"/>
  <c r="G39" i="26"/>
  <c r="G40" i="26" s="1"/>
  <c r="J34" i="26"/>
  <c r="J35" i="26" s="1"/>
  <c r="J38" i="26" s="1"/>
  <c r="L39" i="26"/>
  <c r="L40" i="26" s="1"/>
  <c r="K39" i="26"/>
  <c r="K40" i="26" s="1"/>
  <c r="Q39" i="26"/>
  <c r="Q40" i="26" s="1"/>
  <c r="M18" i="26"/>
  <c r="I19" i="26"/>
  <c r="O18" i="26"/>
  <c r="O19" i="26" s="1"/>
  <c r="O20" i="26" s="1"/>
  <c r="O24" i="26" s="1"/>
  <c r="O28" i="26" s="1"/>
  <c r="O32" i="26" s="1"/>
  <c r="H22" i="26"/>
  <c r="D23" i="26"/>
  <c r="N19" i="26"/>
  <c r="E18" i="26" l="1"/>
  <c r="H16" i="26"/>
  <c r="R18" i="26"/>
  <c r="J39" i="26"/>
  <c r="J40" i="26" s="1"/>
  <c r="H23" i="26"/>
  <c r="D24" i="26"/>
  <c r="D28" i="26" s="1"/>
  <c r="M19" i="26"/>
  <c r="M24" i="26" s="1"/>
  <c r="I20" i="26"/>
  <c r="R19" i="26"/>
  <c r="N20" i="26"/>
  <c r="O34" i="26"/>
  <c r="O35" i="26" s="1"/>
  <c r="O36" i="26" s="1"/>
  <c r="H18" i="26" l="1"/>
  <c r="E19" i="26"/>
  <c r="O37" i="26"/>
  <c r="O38" i="26" s="1"/>
  <c r="J6" i="30" s="1"/>
  <c r="E6" i="30"/>
  <c r="N22" i="26"/>
  <c r="R20" i="26"/>
  <c r="D32" i="26"/>
  <c r="M20" i="26"/>
  <c r="I24" i="26"/>
  <c r="I28" i="26" s="1"/>
  <c r="H19" i="26" l="1"/>
  <c r="H24" i="26" s="1"/>
  <c r="E20" i="26"/>
  <c r="O39" i="26"/>
  <c r="O40" i="26" s="1"/>
  <c r="M28" i="26"/>
  <c r="I32" i="26"/>
  <c r="N23" i="26"/>
  <c r="R22" i="26"/>
  <c r="D34" i="26"/>
  <c r="H20" i="26" l="1"/>
  <c r="E24" i="26"/>
  <c r="E28" i="26" s="1"/>
  <c r="D35" i="26"/>
  <c r="D38" i="26" s="1"/>
  <c r="R23" i="26"/>
  <c r="R24" i="26" s="1"/>
  <c r="N24" i="26"/>
  <c r="N28" i="26" s="1"/>
  <c r="M32" i="26"/>
  <c r="I34" i="26"/>
  <c r="M34" i="26" s="1"/>
  <c r="E32" i="26" l="1"/>
  <c r="H28" i="26"/>
  <c r="I35" i="26"/>
  <c r="D39" i="26"/>
  <c r="N32" i="26"/>
  <c r="R28" i="26"/>
  <c r="E34" i="26" l="1"/>
  <c r="H32" i="26"/>
  <c r="D40" i="26"/>
  <c r="N34" i="26"/>
  <c r="R34" i="26" s="1"/>
  <c r="R32" i="26"/>
  <c r="M35" i="26"/>
  <c r="I38" i="26"/>
  <c r="E35" i="26" l="1"/>
  <c r="H34" i="26"/>
  <c r="N35" i="26"/>
  <c r="N36" i="26"/>
  <c r="R35" i="26"/>
  <c r="N6" i="30" s="1"/>
  <c r="I39" i="26"/>
  <c r="M39" i="26" s="1"/>
  <c r="M38" i="26"/>
  <c r="E38" i="26" l="1"/>
  <c r="H35" i="26"/>
  <c r="I40" i="26"/>
  <c r="M40" i="26" s="1"/>
  <c r="N37" i="26"/>
  <c r="R36" i="26"/>
  <c r="B6" i="30" s="1"/>
  <c r="F6" i="30" s="1"/>
  <c r="E39" i="26" l="1"/>
  <c r="H38" i="26"/>
  <c r="R37" i="26"/>
  <c r="N38" i="26"/>
  <c r="E40" i="26" l="1"/>
  <c r="H40" i="26" s="1"/>
  <c r="H39" i="26"/>
  <c r="R38" i="26"/>
  <c r="N39" i="26"/>
  <c r="R39" i="26" s="1"/>
  <c r="G6" i="30" l="1"/>
  <c r="N40" i="26"/>
  <c r="R40" i="26" s="1"/>
  <c r="M6" i="30" l="1"/>
  <c r="M10" i="30" s="1"/>
  <c r="K6" i="30"/>
  <c r="E5" i="30" l="1"/>
  <c r="J5" i="30" l="1"/>
  <c r="D5" i="30" l="1"/>
  <c r="E3" i="30"/>
  <c r="I5" i="30" l="1"/>
  <c r="E4" i="30"/>
  <c r="E10" i="30" s="1"/>
  <c r="J3" i="30" l="1"/>
  <c r="N3" i="30" l="1"/>
  <c r="N4" i="30"/>
  <c r="J4" i="30"/>
  <c r="J10" i="30"/>
  <c r="D4" i="30" l="1"/>
  <c r="B4" i="30"/>
  <c r="D3" i="30"/>
  <c r="D10" i="30" s="1"/>
  <c r="B3" i="30"/>
  <c r="F3" i="30" s="1"/>
  <c r="F4" i="30" l="1"/>
  <c r="I3" i="30"/>
  <c r="I10" i="30" s="1"/>
  <c r="I4" i="30"/>
  <c r="G3" i="30" l="1"/>
  <c r="K3" i="30" s="1"/>
  <c r="G4" i="30"/>
  <c r="K4" i="30" s="1"/>
  <c r="N5" i="30" l="1"/>
  <c r="N10" i="30" s="1"/>
  <c r="B5" i="30" l="1"/>
  <c r="F5" i="30" l="1"/>
  <c r="F10" i="30" s="1"/>
  <c r="B10" i="30"/>
  <c r="G5" i="30" l="1"/>
  <c r="K5" i="30" l="1"/>
  <c r="K10" i="30" s="1"/>
  <c r="G10" i="30"/>
</calcChain>
</file>

<file path=xl/sharedStrings.xml><?xml version="1.0" encoding="utf-8"?>
<sst xmlns="http://schemas.openxmlformats.org/spreadsheetml/2006/main" count="446" uniqueCount="128">
  <si>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</si>
  <si>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</si>
  <si>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</si>
  <si>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</si>
  <si>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</si>
  <si>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</si>
  <si>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</si>
  <si>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</si>
  <si>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</si>
  <si>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2. Основные объекты строительства</t>
  </si>
  <si>
    <t>ИТОГО ПО ГЛАВЕ 2</t>
  </si>
  <si>
    <t>Глава 9. Прочие работы и затраты</t>
  </si>
  <si>
    <t>ИТОГО ПО ГЛАВЕ 9</t>
  </si>
  <si>
    <t>Глава 10.Содержание службы заказчика.Строительный контроль.</t>
  </si>
  <si>
    <t>ИТОГО ПО ГЛАВЕ 10</t>
  </si>
  <si>
    <t>ИТОГО ПО ГЛАВЕ 12</t>
  </si>
  <si>
    <t>ВСЕГО БЕЗ НДС</t>
  </si>
  <si>
    <t>НДС 18%</t>
  </si>
  <si>
    <t>ИТОГО ПО СВОДНОМ СМЕТНОМУ РАСЧЕТУ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</si>
  <si>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</si>
  <si>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</si>
  <si>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</si>
  <si>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</si>
  <si>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</si>
  <si>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Непредвиденные работы и затраты  3% (1,5%)</t>
  </si>
  <si>
    <t>Глава 8. Временные здания и сооружения</t>
  </si>
  <si>
    <t>ИТОГО ПО ГЛАВЕ 8</t>
  </si>
  <si>
    <t>"СОГЛАСОВАНО"</t>
  </si>
  <si>
    <t>от ДКС</t>
  </si>
  <si>
    <t>Начальник Департамента капитального строительства</t>
  </si>
  <si>
    <t>С учетом снижения 30%</t>
  </si>
  <si>
    <t>ГСН 81-05-01-2001</t>
  </si>
  <si>
    <t>Постановление Правительсва РФ от 21.06.2010 г. № 468</t>
  </si>
  <si>
    <t>МДС 81-35.2004,                прил.8, п.12.3</t>
  </si>
  <si>
    <t>ИТОГО ПО ГЛАВЕ 1</t>
  </si>
  <si>
    <t>Содержание службы заказчика - застройщика  (технического надзора ) строительства 2.14 %</t>
  </si>
  <si>
    <t>Глава 1. Подготовка территории строительства</t>
  </si>
  <si>
    <t>ИТОГО ПО ГЛАВАМ 1- 2</t>
  </si>
  <si>
    <t>ИТОГО ПО ГЛАВАМ 1- 8</t>
  </si>
  <si>
    <t>Разработал:</t>
  </si>
  <si>
    <t xml:space="preserve">Проверил:                </t>
  </si>
  <si>
    <t>СМР</t>
  </si>
  <si>
    <t>Локальная смета №1</t>
  </si>
  <si>
    <t>Пусконаладочные работы</t>
  </si>
  <si>
    <t>Начальник управления капитального строительства
филиала ПАО "МРСК Северо-Запада" "Комиэнерго"</t>
  </si>
  <si>
    <t>Заместитель директора по инвестиционной деятельности
филиала ПАО "МРСК Северо-Запада" "Комиэнерго"</t>
  </si>
  <si>
    <t>Год окончания реализации инвестиционного проекта</t>
  </si>
  <si>
    <t>код ИП</t>
  </si>
  <si>
    <t>Нименование ИП</t>
  </si>
  <si>
    <t>в т.ч.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</si>
  <si>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</si>
  <si>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</si>
  <si>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</si>
  <si>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</si>
  <si>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</si>
  <si>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F_003-56-1-05.20-0000</t>
  </si>
  <si>
    <t>Расчет оценки полной стоимости инвестиционного проекта в прогнозных ценах соответствующих лет по ИП №</t>
  </si>
  <si>
    <t>Создание автоматизированных узлов учета электроэнергии на границе балансовой принадлежности электрических сетей филиала «Комиэнерго» напряжением 0,38 (0,23) кВ с интеграцией в систему сбора и передачи данных (31954 шт.)</t>
  </si>
  <si>
    <t>"УТВЕРЖДАЮ"</t>
  </si>
  <si>
    <t>Заместитель генерального директора
по инвестиционной деятельности
ПАО "МРСК Северо-Запада"</t>
  </si>
  <si>
    <t>____________ /В.В. Нестеренко/</t>
  </si>
  <si>
    <t xml:space="preserve">БЛОК 3 
плановая стоимость объекта в прогнозных ценах 2018года  с учетом применения методики снижения инвестиционных затрат на 30% относительно уровня 2012года </t>
  </si>
  <si>
    <t>Монтаж 1-фазного выносного автоматизированного прибора учета электроэнергии на опоре ВЛ-0,4кВ (3433 шт.)</t>
  </si>
  <si>
    <t>Локальная смета №2</t>
  </si>
  <si>
    <t>Монтаж 3-фазного выносного автоматизированного прибора учета электроэнергии на опоре ВЛ-0,4кВ (888 шт.)</t>
  </si>
  <si>
    <t>Локальная смета №3</t>
  </si>
  <si>
    <t>Монтаж узла учета на ТП 6(10)/0,4кВ и устройства сбора и передачи данных на верхний уровень АИИС КУЭ (91 шт.)</t>
  </si>
  <si>
    <t>Средства на возведение, разборку временных зданий и сооружений, %=2,5</t>
  </si>
  <si>
    <t>Расчет</t>
  </si>
  <si>
    <t>Разработка исполнительной документации</t>
  </si>
  <si>
    <t>С учетом индексов-дефляторов в цены 2018 года</t>
  </si>
  <si>
    <t>начальник отдела эксплуатации и развития систем учета электроэнергии</t>
  </si>
  <si>
    <t>А.А.Адамов</t>
  </si>
  <si>
    <t>начальник ОКС</t>
  </si>
  <si>
    <t>Е.Г.Пирковская</t>
  </si>
  <si>
    <t xml:space="preserve">_______________________ </t>
  </si>
  <si>
    <t>Э.Б.Михневич</t>
  </si>
  <si>
    <t>"____" ___________________ 2017г.</t>
  </si>
  <si>
    <t>А.С.Сажин</t>
  </si>
  <si>
    <t>Е.Н.Сесюк</t>
  </si>
  <si>
    <t xml:space="preserve">БЛОК 3 
плановая стоимость объекта в прогнозных ценах 2019года  с учетом применения методики снижения инвестиционных затрат на 30% относительно уровня 2012года </t>
  </si>
  <si>
    <t>Монтаж 1-фазного выносного автоматизированного прибора учета электроэнергии на опоре ВЛ-0,4кВ (3079 шт.)</t>
  </si>
  <si>
    <t>Монтаж 3-фазного выносного автоматизированного прибора учета электроэнергии на опоре ВЛ-0,4кВ (978 шт.)</t>
  </si>
  <si>
    <t>Монтаж узла учета на ТП 6(10)/0,4кВ и устройства сбора и передачи данных на верхний уровень АИИС КУЭ (94 шт.)</t>
  </si>
  <si>
    <t>С учетом индексов-дефляторов в цены 2019 года</t>
  </si>
  <si>
    <t>ИП</t>
  </si>
  <si>
    <t xml:space="preserve">БЛОК 3 
плановая стоимость объекта в прогнозных ценах 2020года  с учетом применения методики снижения инвестиционных затрат на 30% относительно уровня 2012года </t>
  </si>
  <si>
    <t>количество, шт.</t>
  </si>
  <si>
    <t>Монтаж 1-фазного выносного автоматизированного прибора учета электроэнергии на опоре ВЛ-0,4кВ (2714 шт.)</t>
  </si>
  <si>
    <t>Монтаж 3-фазного выносного автоматизированного прибора учета электроэнергии на опоре ВЛ-0,4кВ (639 шт.)</t>
  </si>
  <si>
    <t>Монтаж узла учета на ТП 6(10)/0,4кВ и устройства сбора и передачи данных на верхний уровень АИИС КУЭ (77 шт.)</t>
  </si>
  <si>
    <t>С учетом индексов-дефляторов в цены 2023 года</t>
  </si>
  <si>
    <t>ориентир в ИП</t>
  </si>
  <si>
    <t xml:space="preserve">БЛОК 3 
плановая стоимость объекта в прогнозных ценах 2021года  с учетом применения методики снижения инвестиционных затрат на 30% относительно уровня 2012года </t>
  </si>
  <si>
    <t>Монтаж 1-фазного выносного автоматизированного прибора учета электроэнергии на опоре ВЛ-0,4кВ (2612 шт.)</t>
  </si>
  <si>
    <t>Монтаж 3-фазного выносного автоматизированного прибора учета электроэнергии на опоре ВЛ-0,4кВ (612 шт.)</t>
  </si>
  <si>
    <t>Монтаж узла учета на ТП 6(10)/0,4кВ и устройства сбора и передачи данных на верхний уровень АИИС КУЭ (74 шт.)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</si>
  <si>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</si>
  <si>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</si>
  <si>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НМЦ лота, без НДС</t>
  </si>
  <si>
    <t>ФОТ, без НДС</t>
  </si>
  <si>
    <t>ПИР</t>
  </si>
  <si>
    <t xml:space="preserve">Оборудование </t>
  </si>
  <si>
    <t>Прочие затраты</t>
  </si>
  <si>
    <t>факт 2015</t>
  </si>
  <si>
    <t>ВСЕГО</t>
  </si>
  <si>
    <t>Сметный расчет по ИП № F 003-56-1-05.20-0000 "Создание автоматизированных узлов учета электроэнергии на границе балансовой принадлежности электрических сетей филиала «Комиэнерго» напряжением 0,38 (0,23) кВ с интеграцией в систему сбора и передачи данных (31954 шт.)" на 2018 год</t>
  </si>
  <si>
    <t>Сметный расчет по ИП № F 003-56-1-05.20-0000 "Создание автоматизированных узлов учета электроэнергии на границе балансовой принадлежности электрических сетей филиала «Комиэнерго» напряжением 0,38 (0,23) кВ с интеграцией в систему сбора и передачи данных (31954 шт.)" на 2019 год</t>
  </si>
  <si>
    <t>Сметный расчет по ИП № F 003-56-1-05.20-0000 "Создание автоматизированных узлов учета электроэнергии на границе балансовой принадлежности электрических сетей филиала «Комиэнерго» напряжением 0,38 (0,23) кВ с интеграцией в систему сбора и передачи данных (31954 шт.)" на 2020 год</t>
  </si>
  <si>
    <t>Сметный расчет по ИП № F 003-56-1-05.20-0000 "Создание автоматизированных узлов учета электроэнергии на границе балансовой принадлежности электрических сетей филиала «Комиэнерго» напряжением 0,38 (0,23) кВ с интеграцией в систему сбора и передачи данных (31954 шт.)" на 2021 год</t>
  </si>
  <si>
    <t>БЛОК 1
Укрупненная сметная стоимость 
(в ценах 2 кв. 2017 г.)</t>
  </si>
  <si>
    <t>БЛОК 2
Укрупненная сметная стоимость 
в ценах на 01.01.2000 года</t>
  </si>
  <si>
    <t>года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</si>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</sst>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.000"/>
    <numFmt numFmtId="168" formatCode="#,##0.0000"/>
    <numFmt numFmtId="169" formatCode="0.000"/>
    <numFmt numFmtId="175" formatCode="#,##0.00000"/>
    <numFmt numFmtId="176" formatCode="#,##0.000000"/>
    <numFmt numFmtId="178" formatCode="_-* #,##0.00000\ _₽_-;\-* #,##0.00000\ _₽_-;_-* &quot;-&quot;??\ _₽_-;_-@_-"/>
    <numFmt numFmtId="179" formatCode="_-* #,##0.00\ _₽_-;\-* #,##0.00\ _₽_-;_-* &quot;-&quot;\ _₽_-;_-@_-"/>
    <numFmt numFmtId="180" formatCode="_-* #,##0.000\ _₽_-;\-* #,##0.000\ _₽_-;_-* &quot;-&quot;??\ _₽_-;_-@_-"/>
    <numFmt numFmtId="181" formatCode="_-* #,##0.000\ _₽_-;\-* #,##0.000\ _₽_-;_-* &quot;-&quot;\ _₽_-;_-@_-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84">
    <xf numFmtId="0" fontId="0" fillId="0" borderId="0"/>
    <xf numFmtId="0" fontId="13" fillId="0" borderId="1">
      <alignment horizontal="center" vertical="center"/>
    </xf>
    <xf numFmtId="0" fontId="13" fillId="0" borderId="1">
      <alignment horizontal="center" vertical="center"/>
    </xf>
    <xf numFmtId="0" fontId="14" fillId="0" borderId="0">
      <alignment horizontal="left" vertical="top"/>
    </xf>
    <xf numFmtId="0" fontId="15" fillId="0" borderId="0">
      <alignment horizontal="left" vertical="top"/>
    </xf>
    <xf numFmtId="0" fontId="16" fillId="0" borderId="0">
      <alignment horizontal="right" vertical="top"/>
    </xf>
    <xf numFmtId="0" fontId="17" fillId="0" borderId="0"/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4">
      <alignment horizontal="left" vertical="top"/>
    </xf>
    <xf numFmtId="0" fontId="18" fillId="0" borderId="0">
      <alignment horizontal="center" vertical="top"/>
    </xf>
    <xf numFmtId="0" fontId="18" fillId="0" borderId="0">
      <alignment horizontal="left" vertical="top"/>
    </xf>
    <xf numFmtId="0" fontId="18" fillId="0" borderId="0">
      <alignment horizontal="righ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9" fillId="0" borderId="0">
      <alignment horizontal="center" vertical="center"/>
    </xf>
    <xf numFmtId="0" fontId="20" fillId="0" borderId="0">
      <alignment horizontal="left" vertical="top"/>
    </xf>
    <xf numFmtId="0" fontId="18" fillId="0" borderId="0">
      <alignment horizontal="left" vertical="top"/>
    </xf>
    <xf numFmtId="0" fontId="15" fillId="0" borderId="5">
      <alignment horizontal="center" vertical="center"/>
    </xf>
    <xf numFmtId="0" fontId="15" fillId="0" borderId="1">
      <alignment horizontal="center" vertical="center"/>
    </xf>
    <xf numFmtId="0" fontId="15" fillId="0" borderId="1">
      <alignment horizontal="center" vertical="center"/>
    </xf>
    <xf numFmtId="0" fontId="15" fillId="0" borderId="1">
      <alignment horizontal="center" vertical="center"/>
    </xf>
    <xf numFmtId="0" fontId="15" fillId="0" borderId="6">
      <alignment horizontal="center" vertical="center"/>
    </xf>
    <xf numFmtId="0" fontId="15" fillId="0" borderId="1">
      <alignment horizontal="center" vertical="center"/>
    </xf>
    <xf numFmtId="0" fontId="15" fillId="0" borderId="5">
      <alignment horizontal="center" vertical="center"/>
    </xf>
    <xf numFmtId="0" fontId="15" fillId="0" borderId="1">
      <alignment horizontal="center" vertical="center"/>
    </xf>
    <xf numFmtId="0" fontId="15" fillId="0" borderId="1">
      <alignment horizontal="center" vertical="center"/>
    </xf>
    <xf numFmtId="0" fontId="15" fillId="0" borderId="1">
      <alignment horizontal="center" vertical="center"/>
    </xf>
    <xf numFmtId="0" fontId="15" fillId="0" borderId="6">
      <alignment horizontal="center" vertical="center"/>
    </xf>
    <xf numFmtId="0" fontId="21" fillId="0" borderId="4">
      <alignment horizontal="left" vertical="top"/>
    </xf>
    <xf numFmtId="0" fontId="15" fillId="0" borderId="0">
      <alignment horizontal="right" vertical="top"/>
    </xf>
    <xf numFmtId="0" fontId="15" fillId="0" borderId="0">
      <alignment horizontal="left" vertical="top"/>
    </xf>
    <xf numFmtId="0" fontId="15" fillId="0" borderId="0">
      <alignment horizontal="left" vertical="top"/>
    </xf>
    <xf numFmtId="0" fontId="15" fillId="0" borderId="0">
      <alignment horizontal="right" vertical="top"/>
    </xf>
    <xf numFmtId="0" fontId="22" fillId="0" borderId="0">
      <alignment horizontal="right" vertical="top"/>
    </xf>
    <xf numFmtId="0" fontId="22" fillId="0" borderId="0">
      <alignment horizontal="left" vertical="top"/>
    </xf>
    <xf numFmtId="0" fontId="22" fillId="0" borderId="0">
      <alignment horizontal="left" vertical="top"/>
    </xf>
    <xf numFmtId="0" fontId="22" fillId="0" borderId="0">
      <alignment horizontal="right" vertical="top"/>
    </xf>
    <xf numFmtId="0" fontId="22" fillId="0" borderId="0">
      <alignment horizontal="left" vertical="top"/>
    </xf>
    <xf numFmtId="0" fontId="22" fillId="0" borderId="0">
      <alignment horizontal="left" vertical="top"/>
    </xf>
    <xf numFmtId="0" fontId="22" fillId="0" borderId="0">
      <alignment horizontal="left" vertical="top"/>
    </xf>
    <xf numFmtId="0" fontId="22" fillId="0" borderId="0">
      <alignment horizontal="left" vertical="top"/>
    </xf>
    <xf numFmtId="0" fontId="22" fillId="0" borderId="0">
      <alignment horizontal="left" vertical="top"/>
    </xf>
    <xf numFmtId="0" fontId="23" fillId="0" borderId="4">
      <alignment horizontal="left" vertical="top"/>
    </xf>
    <xf numFmtId="0" fontId="22" fillId="0" borderId="0">
      <alignment horizontal="right" vertical="top"/>
    </xf>
    <xf numFmtId="0" fontId="22" fillId="0" borderId="0">
      <alignment horizontal="left"/>
    </xf>
    <xf numFmtId="0" fontId="23" fillId="0" borderId="0">
      <alignment horizontal="left" vertical="top"/>
    </xf>
    <xf numFmtId="0" fontId="23" fillId="0" borderId="0">
      <alignment horizontal="left" vertical="top"/>
    </xf>
    <xf numFmtId="0" fontId="23" fillId="0" borderId="0">
      <alignment horizontal="left" vertical="top"/>
    </xf>
    <xf numFmtId="0" fontId="18" fillId="0" borderId="4">
      <alignment horizontal="left" vertical="top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left" vertical="top"/>
    </xf>
    <xf numFmtId="0" fontId="18" fillId="0" borderId="4">
      <alignment horizontal="left"/>
    </xf>
    <xf numFmtId="0" fontId="23" fillId="0" borderId="0">
      <alignment horizontal="left" vertical="top"/>
    </xf>
    <xf numFmtId="0" fontId="12" fillId="0" borderId="0"/>
    <xf numFmtId="165" fontId="12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3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283">
    <xf numFmtId="0" fontId="0" fillId="0" borderId="0" xfId="0"/>
    <xf numFmtId="0" fontId="17" fillId="0" borderId="0" xfId="6" applyAlignment="1">
      <alignment wrapText="1"/>
    </xf>
    <xf numFmtId="0" fontId="29" fillId="0" borderId="0" xfId="8" applyFont="1" applyBorder="1" applyAlignment="1">
      <alignment horizontal="left" vertical="top" wrapText="1"/>
    </xf>
    <xf numFmtId="0" fontId="29" fillId="0" borderId="0" xfId="18" applyFont="1" applyBorder="1" applyAlignment="1">
      <alignment horizontal="left" vertical="top" wrapText="1"/>
    </xf>
    <xf numFmtId="0" fontId="30" fillId="0" borderId="0" xfId="49" applyFont="1" applyAlignment="1">
      <alignment horizontal="left" vertical="top" wrapText="1"/>
    </xf>
    <xf numFmtId="0" fontId="17" fillId="0" borderId="0" xfId="6" applyFont="1" applyAlignment="1">
      <alignment wrapText="1"/>
    </xf>
    <xf numFmtId="0" fontId="0" fillId="0" borderId="0" xfId="0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17" fillId="0" borderId="0" xfId="6" applyAlignment="1">
      <alignment horizontal="right"/>
    </xf>
    <xf numFmtId="0" fontId="18" fillId="0" borderId="0" xfId="10" applyBorder="1" applyAlignment="1">
      <alignment horizontal="left" vertical="top" wrapText="1"/>
    </xf>
    <xf numFmtId="0" fontId="39" fillId="0" borderId="0" xfId="62" applyFont="1" applyAlignment="1" applyProtection="1">
      <alignment horizontal="left" vertical="center"/>
      <protection locked="0"/>
    </xf>
    <xf numFmtId="0" fontId="18" fillId="0" borderId="0" xfId="10" quotePrefix="1" applyBorder="1" applyAlignment="1">
      <alignment horizontal="center" vertical="top" wrapText="1"/>
    </xf>
    <xf numFmtId="0" fontId="17" fillId="0" borderId="0" xfId="6" applyAlignment="1">
      <alignment horizontal="center" wrapText="1"/>
    </xf>
    <xf numFmtId="0" fontId="41" fillId="0" borderId="17" xfId="24" quotePrefix="1" applyFont="1" applyBorder="1" applyAlignment="1">
      <alignment horizontal="center" vertical="center" wrapText="1"/>
    </xf>
    <xf numFmtId="0" fontId="41" fillId="0" borderId="18" xfId="24" quotePrefix="1" applyFont="1" applyBorder="1" applyAlignment="1">
      <alignment horizontal="center" vertical="center" wrapText="1"/>
    </xf>
    <xf numFmtId="0" fontId="41" fillId="0" borderId="23" xfId="24" quotePrefix="1" applyFont="1" applyBorder="1" applyAlignment="1">
      <alignment horizontal="center" vertical="center" wrapText="1"/>
    </xf>
    <xf numFmtId="0" fontId="22" fillId="0" borderId="0" xfId="46" quotePrefix="1" applyAlignment="1">
      <alignment horizontal="center" wrapText="1"/>
    </xf>
    <xf numFmtId="49" fontId="26" fillId="0" borderId="1" xfId="0" applyNumberFormat="1" applyFont="1" applyBorder="1" applyAlignment="1" applyProtection="1">
      <alignment horizontal="left" vertical="top" wrapText="1"/>
      <protection locked="0"/>
    </xf>
    <xf numFmtId="0" fontId="22" fillId="0" borderId="24" xfId="25" applyNumberFormat="1" applyFont="1" applyBorder="1" applyAlignment="1">
      <alignment horizontal="center" vertical="center" wrapText="1"/>
    </xf>
    <xf numFmtId="0" fontId="22" fillId="0" borderId="25" xfId="26" applyNumberFormat="1" applyFont="1" applyBorder="1" applyAlignment="1">
      <alignment horizontal="center" vertical="center" wrapText="1"/>
    </xf>
    <xf numFmtId="0" fontId="22" fillId="0" borderId="14" xfId="27" applyNumberFormat="1" applyFont="1" applyBorder="1" applyAlignment="1">
      <alignment horizontal="center" vertical="center" wrapText="1"/>
    </xf>
    <xf numFmtId="0" fontId="22" fillId="0" borderId="24" xfId="28" applyNumberFormat="1" applyFont="1" applyBorder="1" applyAlignment="1">
      <alignment horizontal="center" vertical="center" wrapText="1"/>
    </xf>
    <xf numFmtId="0" fontId="22" fillId="0" borderId="25" xfId="28" applyNumberFormat="1" applyFont="1" applyBorder="1" applyAlignment="1">
      <alignment horizontal="center" vertical="center" wrapText="1"/>
    </xf>
    <xf numFmtId="0" fontId="22" fillId="0" borderId="14" xfId="28" applyNumberFormat="1" applyFont="1" applyBorder="1" applyAlignment="1">
      <alignment horizontal="center" vertical="center" wrapText="1"/>
    </xf>
    <xf numFmtId="0" fontId="22" fillId="0" borderId="26" xfId="29" applyNumberFormat="1" applyFont="1" applyBorder="1" applyAlignment="1">
      <alignment horizontal="center" vertical="center" wrapText="1"/>
    </xf>
    <xf numFmtId="0" fontId="24" fillId="0" borderId="27" xfId="29" applyNumberFormat="1" applyFont="1" applyBorder="1" applyAlignment="1">
      <alignment horizontal="center" vertical="center" wrapText="1"/>
    </xf>
    <xf numFmtId="0" fontId="24" fillId="0" borderId="28" xfId="29" applyNumberFormat="1" applyFont="1" applyBorder="1" applyAlignment="1">
      <alignment horizontal="center" vertical="center" wrapText="1"/>
    </xf>
    <xf numFmtId="0" fontId="24" fillId="0" borderId="0" xfId="29" applyNumberFormat="1" applyFont="1" applyBorder="1" applyAlignment="1">
      <alignment horizontal="center" vertical="center" wrapText="1"/>
    </xf>
    <xf numFmtId="0" fontId="24" fillId="0" borderId="26" xfId="29" applyNumberFormat="1" applyFont="1" applyBorder="1" applyAlignment="1">
      <alignment horizontal="center" vertical="center" wrapText="1"/>
    </xf>
    <xf numFmtId="0" fontId="30" fillId="0" borderId="0" xfId="49" applyFont="1" applyBorder="1" applyAlignment="1">
      <alignment horizontal="left" vertical="top" wrapText="1"/>
    </xf>
    <xf numFmtId="0" fontId="43" fillId="0" borderId="1" xfId="30" quotePrefix="1" applyFont="1" applyFill="1" applyBorder="1" applyAlignment="1">
      <alignment horizontal="left" vertical="top" wrapText="1"/>
    </xf>
    <xf numFmtId="4" fontId="44" fillId="0" borderId="1" xfId="34" applyNumberFormat="1" applyFont="1" applyFill="1" applyBorder="1" applyAlignment="1">
      <alignment horizontal="right" vertical="top" wrapText="1"/>
    </xf>
    <xf numFmtId="0" fontId="42" fillId="0" borderId="1" xfId="35" applyNumberFormat="1" applyFont="1" applyBorder="1" applyAlignment="1">
      <alignment horizontal="center" vertical="top" wrapText="1"/>
    </xf>
    <xf numFmtId="0" fontId="42" fillId="0" borderId="1" xfId="36" quotePrefix="1" applyFont="1" applyBorder="1" applyAlignment="1">
      <alignment horizontal="left" vertical="top" wrapText="1"/>
    </xf>
    <xf numFmtId="4" fontId="44" fillId="0" borderId="1" xfId="38" applyNumberFormat="1" applyFont="1" applyBorder="1" applyAlignment="1">
      <alignment horizontal="right" vertical="top" wrapText="1"/>
    </xf>
    <xf numFmtId="4" fontId="43" fillId="0" borderId="1" xfId="30" quotePrefix="1" applyNumberFormat="1" applyFont="1" applyBorder="1" applyAlignment="1">
      <alignment horizontal="left" vertical="top" wrapText="1"/>
    </xf>
    <xf numFmtId="0" fontId="42" fillId="0" borderId="1" xfId="35" applyFont="1" applyBorder="1" applyAlignment="1">
      <alignment horizontal="center" vertical="top" wrapText="1"/>
    </xf>
    <xf numFmtId="4" fontId="44" fillId="0" borderId="1" xfId="38" applyNumberFormat="1" applyFont="1" applyFill="1" applyBorder="1" applyAlignment="1">
      <alignment horizontal="right" vertical="top" wrapText="1"/>
    </xf>
    <xf numFmtId="4" fontId="42" fillId="0" borderId="1" xfId="38" applyNumberFormat="1" applyFont="1" applyFill="1" applyBorder="1" applyAlignment="1">
      <alignment horizontal="right" vertical="top" wrapText="1"/>
    </xf>
    <xf numFmtId="0" fontId="42" fillId="0" borderId="1" xfId="45" quotePrefix="1" applyFont="1" applyBorder="1" applyAlignment="1">
      <alignment horizontal="right" vertical="top" wrapText="1"/>
    </xf>
    <xf numFmtId="4" fontId="45" fillId="0" borderId="1" xfId="38" applyNumberFormat="1" applyFont="1" applyBorder="1" applyAlignment="1">
      <alignment horizontal="right" vertical="top" wrapText="1"/>
    </xf>
    <xf numFmtId="0" fontId="41" fillId="0" borderId="21" xfId="23" quotePrefix="1" applyFont="1" applyBorder="1" applyAlignment="1">
      <alignment horizontal="center" vertical="center" wrapText="1"/>
    </xf>
    <xf numFmtId="4" fontId="44" fillId="0" borderId="17" xfId="24" quotePrefix="1" applyNumberFormat="1" applyFont="1" applyBorder="1" applyAlignment="1">
      <alignment horizontal="center" vertical="center" wrapText="1"/>
    </xf>
    <xf numFmtId="4" fontId="44" fillId="0" borderId="18" xfId="24" quotePrefix="1" applyNumberFormat="1" applyFont="1" applyBorder="1" applyAlignment="1">
      <alignment horizontal="center" vertical="center" wrapText="1"/>
    </xf>
    <xf numFmtId="4" fontId="44" fillId="0" borderId="19" xfId="24" quotePrefix="1" applyNumberFormat="1" applyFont="1" applyBorder="1" applyAlignment="1">
      <alignment horizontal="center" vertical="center" wrapText="1"/>
    </xf>
    <xf numFmtId="4" fontId="44" fillId="0" borderId="16" xfId="23" quotePrefix="1" applyNumberFormat="1" applyFont="1" applyBorder="1" applyAlignment="1">
      <alignment vertical="center" wrapText="1"/>
    </xf>
    <xf numFmtId="4" fontId="44" fillId="0" borderId="20" xfId="23" quotePrefix="1" applyNumberFormat="1" applyFont="1" applyBorder="1" applyAlignment="1">
      <alignment vertical="center" wrapText="1"/>
    </xf>
    <xf numFmtId="49" fontId="26" fillId="0" borderId="6" xfId="0" applyNumberFormat="1" applyFont="1" applyBorder="1" applyAlignment="1" applyProtection="1">
      <alignment horizontal="left" vertical="top" wrapText="1"/>
      <protection locked="0"/>
    </xf>
    <xf numFmtId="0" fontId="42" fillId="0" borderId="6" xfId="37" quotePrefix="1" applyFont="1" applyBorder="1" applyAlignment="1">
      <alignment horizontal="left" vertical="top" wrapText="1"/>
    </xf>
    <xf numFmtId="0" fontId="42" fillId="0" borderId="6" xfId="42" quotePrefix="1" applyFont="1" applyBorder="1" applyAlignment="1">
      <alignment horizontal="left" vertical="top" wrapText="1"/>
    </xf>
    <xf numFmtId="0" fontId="43" fillId="0" borderId="7" xfId="30" quotePrefix="1" applyFont="1" applyBorder="1" applyAlignment="1">
      <alignment horizontal="left" vertical="top" wrapText="1"/>
    </xf>
    <xf numFmtId="0" fontId="43" fillId="0" borderId="8" xfId="30" quotePrefix="1" applyFont="1" applyBorder="1" applyAlignment="1">
      <alignment horizontal="left" vertical="top" wrapText="1"/>
    </xf>
    <xf numFmtId="4" fontId="44" fillId="0" borderId="7" xfId="34" applyNumberFormat="1" applyFont="1" applyFill="1" applyBorder="1" applyAlignment="1">
      <alignment horizontal="right" vertical="top" wrapText="1"/>
    </xf>
    <xf numFmtId="4" fontId="44" fillId="0" borderId="8" xfId="34" applyNumberFormat="1" applyFont="1" applyBorder="1" applyAlignment="1">
      <alignment horizontal="right" vertical="top" wrapText="1"/>
    </xf>
    <xf numFmtId="4" fontId="44" fillId="0" borderId="7" xfId="38" applyNumberFormat="1" applyFont="1" applyBorder="1" applyAlignment="1">
      <alignment horizontal="right" vertical="top" wrapText="1"/>
    </xf>
    <xf numFmtId="4" fontId="43" fillId="0" borderId="7" xfId="30" quotePrefix="1" applyNumberFormat="1" applyFont="1" applyBorder="1" applyAlignment="1">
      <alignment horizontal="left" vertical="top" wrapText="1"/>
    </xf>
    <xf numFmtId="4" fontId="43" fillId="0" borderId="8" xfId="30" quotePrefix="1" applyNumberFormat="1" applyFont="1" applyBorder="1" applyAlignment="1">
      <alignment horizontal="left" vertical="top" wrapText="1"/>
    </xf>
    <xf numFmtId="4" fontId="44" fillId="0" borderId="8" xfId="38" applyNumberFormat="1" applyFont="1" applyBorder="1" applyAlignment="1">
      <alignment horizontal="right" vertical="top" wrapText="1"/>
    </xf>
    <xf numFmtId="4" fontId="42" fillId="0" borderId="7" xfId="38" applyNumberFormat="1" applyFont="1" applyFill="1" applyBorder="1" applyAlignment="1">
      <alignment horizontal="right" vertical="top" wrapText="1"/>
    </xf>
    <xf numFmtId="4" fontId="44" fillId="0" borderId="8" xfId="38" applyNumberFormat="1" applyFont="1" applyFill="1" applyBorder="1" applyAlignment="1">
      <alignment horizontal="right" vertical="top" wrapText="1"/>
    </xf>
    <xf numFmtId="4" fontId="42" fillId="0" borderId="8" xfId="38" applyNumberFormat="1" applyFont="1" applyFill="1" applyBorder="1" applyAlignment="1">
      <alignment horizontal="right" vertical="top" wrapText="1"/>
    </xf>
    <xf numFmtId="4" fontId="45" fillId="0" borderId="7" xfId="38" applyNumberFormat="1" applyFont="1" applyBorder="1" applyAlignment="1">
      <alignment horizontal="right" vertical="top" wrapText="1"/>
    </xf>
    <xf numFmtId="4" fontId="45" fillId="0" borderId="8" xfId="38" applyNumberFormat="1" applyFont="1" applyBorder="1" applyAlignment="1">
      <alignment horizontal="right" vertical="top" wrapText="1"/>
    </xf>
    <xf numFmtId="4" fontId="44" fillId="0" borderId="10" xfId="38" applyNumberFormat="1" applyFont="1" applyBorder="1" applyAlignment="1">
      <alignment horizontal="right" vertical="top" wrapText="1"/>
    </xf>
    <xf numFmtId="4" fontId="44" fillId="0" borderId="11" xfId="38" applyNumberFormat="1" applyFont="1" applyBorder="1" applyAlignment="1">
      <alignment horizontal="right" vertical="top" wrapText="1"/>
    </xf>
    <xf numFmtId="4" fontId="44" fillId="0" borderId="12" xfId="38" applyNumberFormat="1" applyFont="1" applyBorder="1" applyAlignment="1">
      <alignment horizontal="right" vertical="top" wrapText="1"/>
    </xf>
    <xf numFmtId="0" fontId="43" fillId="0" borderId="7" xfId="30" quotePrefix="1" applyFont="1" applyFill="1" applyBorder="1" applyAlignment="1">
      <alignment horizontal="left" vertical="top" wrapText="1"/>
    </xf>
    <xf numFmtId="0" fontId="43" fillId="0" borderId="8" xfId="30" quotePrefix="1" applyFont="1" applyFill="1" applyBorder="1" applyAlignment="1">
      <alignment horizontal="left" vertical="top" wrapText="1"/>
    </xf>
    <xf numFmtId="4" fontId="44" fillId="0" borderId="7" xfId="38" applyNumberFormat="1" applyFont="1" applyFill="1" applyBorder="1" applyAlignment="1">
      <alignment horizontal="right" vertical="top" wrapText="1"/>
    </xf>
    <xf numFmtId="0" fontId="0" fillId="0" borderId="0" xfId="0" applyAlignment="1">
      <alignment vertical="center" wrapText="1"/>
    </xf>
    <xf numFmtId="4" fontId="17" fillId="0" borderId="0" xfId="6" applyNumberFormat="1" applyAlignment="1">
      <alignment wrapText="1"/>
    </xf>
    <xf numFmtId="4" fontId="45" fillId="0" borderId="1" xfId="30" quotePrefix="1" applyNumberFormat="1" applyFont="1" applyBorder="1" applyAlignment="1">
      <alignment horizontal="left" vertical="top" wrapText="1"/>
    </xf>
    <xf numFmtId="0" fontId="44" fillId="0" borderId="1" xfId="31" applyNumberFormat="1" applyFont="1" applyBorder="1" applyAlignment="1">
      <alignment horizontal="center" vertical="top" wrapText="1"/>
    </xf>
    <xf numFmtId="49" fontId="31" fillId="0" borderId="1" xfId="0" applyNumberFormat="1" applyFont="1" applyBorder="1" applyAlignment="1" applyProtection="1">
      <alignment horizontal="left" vertical="top" wrapText="1"/>
      <protection locked="0"/>
    </xf>
    <xf numFmtId="49" fontId="31" fillId="0" borderId="6" xfId="0" applyNumberFormat="1" applyFont="1" applyBorder="1" applyAlignment="1" applyProtection="1">
      <alignment horizontal="left" vertical="top" wrapText="1"/>
      <protection locked="0"/>
    </xf>
    <xf numFmtId="0" fontId="44" fillId="0" borderId="1" xfId="35" applyNumberFormat="1" applyFont="1" applyBorder="1" applyAlignment="1">
      <alignment horizontal="center" vertical="top" wrapText="1"/>
    </xf>
    <xf numFmtId="0" fontId="44" fillId="0" borderId="1" xfId="36" quotePrefix="1" applyFont="1" applyBorder="1" applyAlignment="1">
      <alignment horizontal="left" vertical="top" wrapText="1"/>
    </xf>
    <xf numFmtId="0" fontId="44" fillId="0" borderId="6" xfId="37" quotePrefix="1" applyFont="1" applyBorder="1" applyAlignment="1">
      <alignment horizontal="left" vertical="top" wrapText="1"/>
    </xf>
    <xf numFmtId="0" fontId="44" fillId="0" borderId="6" xfId="42" quotePrefix="1" applyFont="1" applyBorder="1" applyAlignment="1">
      <alignment horizontal="left" vertical="top" wrapText="1"/>
    </xf>
    <xf numFmtId="0" fontId="44" fillId="0" borderId="1" xfId="35" applyFont="1" applyBorder="1" applyAlignment="1">
      <alignment horizontal="center" vertical="top" wrapText="1"/>
    </xf>
    <xf numFmtId="4" fontId="44" fillId="0" borderId="32" xfId="34" applyNumberFormat="1" applyFont="1" applyFill="1" applyBorder="1" applyAlignment="1">
      <alignment horizontal="right" vertical="top" wrapText="1"/>
    </xf>
    <xf numFmtId="4" fontId="44" fillId="0" borderId="32" xfId="38" applyNumberFormat="1" applyFont="1" applyBorder="1" applyAlignment="1">
      <alignment horizontal="right" vertical="top" wrapText="1"/>
    </xf>
    <xf numFmtId="4" fontId="43" fillId="0" borderId="32" xfId="30" quotePrefix="1" applyNumberFormat="1" applyFont="1" applyBorder="1" applyAlignment="1">
      <alignment horizontal="left" vertical="top" wrapText="1"/>
    </xf>
    <xf numFmtId="169" fontId="17" fillId="0" borderId="0" xfId="6" applyNumberFormat="1" applyAlignment="1">
      <alignment wrapText="1"/>
    </xf>
    <xf numFmtId="167" fontId="17" fillId="0" borderId="0" xfId="6" applyNumberFormat="1" applyAlignment="1">
      <alignment wrapText="1"/>
    </xf>
    <xf numFmtId="0" fontId="19" fillId="0" borderId="0" xfId="16" applyBorder="1" applyAlignment="1">
      <alignment vertical="center" wrapText="1"/>
    </xf>
    <xf numFmtId="0" fontId="29" fillId="0" borderId="0" xfId="10" applyFont="1" applyBorder="1" applyAlignment="1">
      <alignment horizontal="left" vertical="top" wrapText="1"/>
    </xf>
    <xf numFmtId="0" fontId="43" fillId="0" borderId="1" xfId="30" quotePrefix="1" applyFont="1" applyBorder="1" applyAlignment="1">
      <alignment horizontal="left" vertical="top" wrapText="1"/>
    </xf>
    <xf numFmtId="0" fontId="45" fillId="0" borderId="1" xfId="30" quotePrefix="1" applyFont="1" applyBorder="1" applyAlignment="1">
      <alignment horizontal="left" vertical="top" wrapText="1"/>
    </xf>
    <xf numFmtId="0" fontId="18" fillId="0" borderId="0" xfId="18" quotePrefix="1" applyBorder="1" applyAlignment="1">
      <alignment horizontal="left" vertical="top" wrapText="1"/>
    </xf>
    <xf numFmtId="0" fontId="18" fillId="0" borderId="0" xfId="18" applyBorder="1" applyAlignment="1">
      <alignment horizontal="left" vertical="top" wrapText="1"/>
    </xf>
    <xf numFmtId="0" fontId="20" fillId="0" borderId="0" xfId="17" quotePrefix="1" applyBorder="1" applyAlignment="1">
      <alignment horizontal="center" vertical="top" wrapText="1"/>
    </xf>
    <xf numFmtId="0" fontId="25" fillId="0" borderId="0" xfId="78" applyFont="1" applyAlignment="1"/>
    <xf numFmtId="0" fontId="0" fillId="0" borderId="0" xfId="0" applyAlignment="1"/>
    <xf numFmtId="0" fontId="25" fillId="0" borderId="0" xfId="78" applyFont="1" applyAlignment="1">
      <alignment horizontal="right"/>
    </xf>
    <xf numFmtId="0" fontId="26" fillId="0" borderId="0" xfId="79" applyFont="1" applyAlignment="1">
      <alignment horizontal="center" vertical="center" wrapText="1"/>
    </xf>
    <xf numFmtId="166" fontId="26" fillId="0" borderId="0" xfId="78" applyNumberFormat="1" applyFont="1" applyFill="1" applyBorder="1" applyAlignment="1">
      <alignment vertical="center" wrapText="1"/>
    </xf>
    <xf numFmtId="0" fontId="40" fillId="0" borderId="0" xfId="79" applyFont="1" applyAlignment="1"/>
    <xf numFmtId="166" fontId="27" fillId="0" borderId="0" xfId="78" applyNumberFormat="1" applyFont="1" applyFill="1" applyBorder="1" applyAlignment="1">
      <alignment horizontal="center" vertical="center" wrapText="1"/>
    </xf>
    <xf numFmtId="0" fontId="3" fillId="0" borderId="0" xfId="78" applyFont="1" applyBorder="1" applyAlignment="1">
      <alignment horizontal="center" vertical="center" wrapText="1"/>
    </xf>
    <xf numFmtId="4" fontId="3" fillId="0" borderId="0" xfId="78" applyNumberFormat="1" applyFont="1" applyBorder="1" applyAlignment="1">
      <alignment horizontal="center" vertical="center" wrapText="1"/>
    </xf>
    <xf numFmtId="0" fontId="28" fillId="0" borderId="0" xfId="78" applyFont="1"/>
    <xf numFmtId="0" fontId="34" fillId="0" borderId="0" xfId="0" applyFont="1" applyFill="1" applyBorder="1" applyAlignment="1">
      <alignment vertical="center" wrapText="1"/>
    </xf>
    <xf numFmtId="0" fontId="3" fillId="0" borderId="0" xfId="78" applyFont="1"/>
    <xf numFmtId="0" fontId="27" fillId="0" borderId="0" xfId="80" applyFont="1" applyAlignment="1">
      <alignment horizontal="left" vertical="center" wrapText="1"/>
    </xf>
    <xf numFmtId="0" fontId="37" fillId="0" borderId="0" xfId="78" applyFont="1" applyFill="1"/>
    <xf numFmtId="0" fontId="3" fillId="0" borderId="0" xfId="79"/>
    <xf numFmtId="0" fontId="37" fillId="0" borderId="0" xfId="79" applyFont="1" applyFill="1"/>
    <xf numFmtId="0" fontId="32" fillId="0" borderId="0" xfId="80" applyFont="1"/>
    <xf numFmtId="14" fontId="39" fillId="0" borderId="0" xfId="62" applyNumberFormat="1" applyFont="1" applyAlignment="1" applyProtection="1">
      <alignment vertical="center" wrapText="1"/>
      <protection locked="0"/>
    </xf>
    <xf numFmtId="0" fontId="26" fillId="0" borderId="0" xfId="79" applyFont="1" applyAlignment="1"/>
    <xf numFmtId="0" fontId="25" fillId="0" borderId="0" xfId="79" applyFont="1" applyAlignment="1"/>
    <xf numFmtId="0" fontId="25" fillId="0" borderId="0" xfId="79" applyFont="1" applyAlignment="1">
      <alignment horizontal="right"/>
    </xf>
    <xf numFmtId="168" fontId="17" fillId="0" borderId="0" xfId="6" applyNumberFormat="1" applyAlignment="1">
      <alignment wrapText="1"/>
    </xf>
    <xf numFmtId="0" fontId="17" fillId="3" borderId="0" xfId="6" applyFill="1" applyAlignment="1">
      <alignment wrapText="1"/>
    </xf>
    <xf numFmtId="175" fontId="17" fillId="0" borderId="0" xfId="6" applyNumberFormat="1" applyFill="1" applyAlignment="1">
      <alignment wrapText="1"/>
    </xf>
    <xf numFmtId="166" fontId="26" fillId="0" borderId="0" xfId="79" applyNumberFormat="1" applyFont="1" applyFill="1" applyBorder="1" applyAlignment="1">
      <alignment vertical="center" wrapText="1"/>
    </xf>
    <xf numFmtId="166" fontId="27" fillId="0" borderId="0" xfId="79" applyNumberFormat="1" applyFont="1" applyFill="1" applyBorder="1" applyAlignment="1">
      <alignment horizontal="center" vertical="center" wrapText="1"/>
    </xf>
    <xf numFmtId="0" fontId="3" fillId="0" borderId="0" xfId="79" applyFont="1" applyBorder="1" applyAlignment="1">
      <alignment horizontal="center" vertical="center" wrapText="1"/>
    </xf>
    <xf numFmtId="4" fontId="3" fillId="0" borderId="0" xfId="79" applyNumberFormat="1" applyFont="1" applyBorder="1" applyAlignment="1">
      <alignment horizontal="center" vertical="center" wrapText="1"/>
    </xf>
    <xf numFmtId="0" fontId="28" fillId="0" borderId="0" xfId="79" applyFont="1"/>
    <xf numFmtId="0" fontId="3" fillId="0" borderId="0" xfId="79" applyFont="1"/>
    <xf numFmtId="176" fontId="17" fillId="0" borderId="0" xfId="6" applyNumberFormat="1" applyAlignment="1">
      <alignment wrapText="1"/>
    </xf>
    <xf numFmtId="4" fontId="44" fillId="4" borderId="1" xfId="38" applyNumberFormat="1" applyFont="1" applyFill="1" applyBorder="1" applyAlignment="1">
      <alignment horizontal="right" vertical="top" wrapText="1"/>
    </xf>
    <xf numFmtId="4" fontId="44" fillId="2" borderId="1" xfId="38" applyNumberFormat="1" applyFont="1" applyFill="1" applyBorder="1" applyAlignment="1">
      <alignment horizontal="right" vertical="top" wrapText="1"/>
    </xf>
    <xf numFmtId="0" fontId="2" fillId="0" borderId="0" xfId="81"/>
    <xf numFmtId="0" fontId="49" fillId="6" borderId="1" xfId="6" applyFont="1" applyFill="1" applyBorder="1" applyAlignment="1">
      <alignment horizontal="center" vertical="center" wrapText="1"/>
    </xf>
    <xf numFmtId="175" fontId="50" fillId="0" borderId="1" xfId="82" applyNumberFormat="1" applyFont="1" applyBorder="1" applyAlignment="1">
      <alignment horizontal="center" vertical="center" wrapText="1"/>
    </xf>
    <xf numFmtId="3" fontId="50" fillId="0" borderId="1" xfId="82" applyNumberFormat="1" applyFont="1" applyBorder="1" applyAlignment="1">
      <alignment horizontal="center" vertical="center" wrapText="1"/>
    </xf>
    <xf numFmtId="175" fontId="50" fillId="0" borderId="1" xfId="82" applyNumberFormat="1" applyFont="1" applyFill="1" applyBorder="1" applyAlignment="1">
      <alignment horizontal="center" vertical="center" wrapText="1"/>
    </xf>
    <xf numFmtId="167" fontId="50" fillId="0" borderId="1" xfId="82" applyNumberFormat="1" applyFont="1" applyBorder="1" applyAlignment="1">
      <alignment horizontal="center" vertical="center" wrapText="1"/>
    </xf>
    <xf numFmtId="175" fontId="50" fillId="2" borderId="1" xfId="82" applyNumberFormat="1" applyFont="1" applyFill="1" applyBorder="1" applyAlignment="1">
      <alignment horizontal="center" vertical="center" wrapText="1"/>
    </xf>
    <xf numFmtId="0" fontId="2" fillId="0" borderId="1" xfId="81" applyFill="1" applyBorder="1"/>
    <xf numFmtId="3" fontId="50" fillId="0" borderId="1" xfId="82" applyNumberFormat="1" applyFont="1" applyFill="1" applyBorder="1" applyAlignment="1">
      <alignment horizontal="center" vertical="center" wrapText="1"/>
    </xf>
    <xf numFmtId="175" fontId="2" fillId="0" borderId="1" xfId="81" applyNumberFormat="1" applyBorder="1"/>
    <xf numFmtId="0" fontId="19" fillId="0" borderId="0" xfId="16" applyBorder="1" applyAlignment="1">
      <alignment horizontal="center" vertical="center" wrapText="1"/>
    </xf>
    <xf numFmtId="0" fontId="26" fillId="0" borderId="0" xfId="78" applyFont="1" applyAlignment="1">
      <alignment horizontal="right" wrapText="1"/>
    </xf>
    <xf numFmtId="0" fontId="18" fillId="0" borderId="0" xfId="18" quotePrefix="1" applyBorder="1" applyAlignment="1">
      <alignment horizontal="left" vertical="top" wrapText="1"/>
    </xf>
    <xf numFmtId="0" fontId="18" fillId="0" borderId="0" xfId="18" applyBorder="1" applyAlignment="1">
      <alignment horizontal="left" vertical="top" wrapText="1"/>
    </xf>
    <xf numFmtId="0" fontId="40" fillId="0" borderId="0" xfId="79" applyFont="1" applyAlignment="1">
      <alignment horizontal="center" wrapText="1"/>
    </xf>
    <xf numFmtId="0" fontId="41" fillId="0" borderId="2" xfId="19" quotePrefix="1" applyFont="1" applyBorder="1" applyAlignment="1">
      <alignment horizontal="center" vertical="center" wrapText="1"/>
    </xf>
    <xf numFmtId="0" fontId="41" fillId="0" borderId="10" xfId="19" applyFont="1" applyBorder="1" applyAlignment="1">
      <alignment horizontal="center" vertical="center" wrapText="1"/>
    </xf>
    <xf numFmtId="0" fontId="41" fillId="0" borderId="3" xfId="20" quotePrefix="1" applyFont="1" applyBorder="1" applyAlignment="1">
      <alignment horizontal="center" vertical="center" wrapText="1"/>
    </xf>
    <xf numFmtId="0" fontId="41" fillId="0" borderId="11" xfId="20" applyFont="1" applyBorder="1" applyAlignment="1">
      <alignment horizontal="center" vertical="center" wrapText="1"/>
    </xf>
    <xf numFmtId="0" fontId="41" fillId="0" borderId="9" xfId="21" quotePrefix="1" applyFont="1" applyBorder="1" applyAlignment="1">
      <alignment horizontal="center" vertical="center" wrapText="1"/>
    </xf>
    <xf numFmtId="0" fontId="41" fillId="0" borderId="13" xfId="21" applyFont="1" applyBorder="1" applyAlignment="1">
      <alignment horizontal="center" vertical="center" wrapText="1"/>
    </xf>
    <xf numFmtId="0" fontId="35" fillId="2" borderId="22" xfId="0" applyFont="1" applyFill="1" applyBorder="1" applyAlignment="1">
      <alignment horizontal="center" vertical="center" wrapText="1"/>
    </xf>
    <xf numFmtId="0" fontId="35" fillId="2" borderId="2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0" fontId="33" fillId="2" borderId="22" xfId="0" applyFont="1" applyFill="1" applyBorder="1" applyAlignment="1">
      <alignment horizontal="center" vertical="center" wrapText="1"/>
    </xf>
    <xf numFmtId="0" fontId="33" fillId="2" borderId="23" xfId="0" applyFont="1" applyFill="1" applyBorder="1" applyAlignment="1">
      <alignment horizontal="center" vertical="center" wrapText="1"/>
    </xf>
    <xf numFmtId="0" fontId="33" fillId="2" borderId="16" xfId="0" applyFont="1" applyFill="1" applyBorder="1" applyAlignment="1">
      <alignment horizontal="center" vertical="center" wrapText="1"/>
    </xf>
    <xf numFmtId="0" fontId="33" fillId="2" borderId="2" xfId="6" applyFont="1" applyFill="1" applyBorder="1" applyAlignment="1">
      <alignment horizontal="center" vertical="center" wrapText="1"/>
    </xf>
    <xf numFmtId="0" fontId="33" fillId="2" borderId="3" xfId="6" applyFont="1" applyFill="1" applyBorder="1" applyAlignment="1">
      <alignment horizontal="center" vertical="center" wrapText="1"/>
    </xf>
    <xf numFmtId="0" fontId="33" fillId="2" borderId="15" xfId="6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center" wrapText="1"/>
    </xf>
    <xf numFmtId="0" fontId="45" fillId="0" borderId="1" xfId="30" applyFont="1" applyBorder="1" applyAlignment="1">
      <alignment horizontal="left" vertical="top" wrapText="1"/>
    </xf>
    <xf numFmtId="0" fontId="31" fillId="0" borderId="1" xfId="0" applyFont="1" applyBorder="1" applyAlignment="1">
      <alignment horizontal="left" vertical="top" wrapText="1"/>
    </xf>
    <xf numFmtId="0" fontId="31" fillId="0" borderId="6" xfId="0" applyFont="1" applyBorder="1" applyAlignment="1">
      <alignment horizontal="left" vertical="top" wrapText="1"/>
    </xf>
    <xf numFmtId="0" fontId="45" fillId="0" borderId="1" xfId="30" quotePrefix="1" applyFont="1" applyBorder="1" applyAlignment="1">
      <alignment horizontal="left" vertical="top" wrapText="1"/>
    </xf>
    <xf numFmtId="0" fontId="25" fillId="0" borderId="0" xfId="78" applyFont="1" applyAlignment="1">
      <alignment horizontal="right"/>
    </xf>
    <xf numFmtId="0" fontId="43" fillId="0" borderId="1" xfId="30" quotePrefix="1" applyFont="1" applyBorder="1" applyAlignment="1">
      <alignment horizontal="left" vertical="top" wrapText="1"/>
    </xf>
    <xf numFmtId="0" fontId="26" fillId="0" borderId="1" xfId="0" applyFont="1" applyBorder="1" applyAlignment="1">
      <alignment horizontal="left" vertical="top" wrapText="1"/>
    </xf>
    <xf numFmtId="0" fontId="26" fillId="0" borderId="6" xfId="0" applyFont="1" applyBorder="1" applyAlignment="1">
      <alignment horizontal="left" vertical="top" wrapText="1"/>
    </xf>
    <xf numFmtId="0" fontId="23" fillId="0" borderId="0" xfId="47" quotePrefix="1" applyAlignment="1">
      <alignment horizontal="left" vertical="top" wrapText="1"/>
    </xf>
    <xf numFmtId="0" fontId="23" fillId="0" borderId="0" xfId="47" applyAlignment="1">
      <alignment horizontal="left" vertical="top" wrapText="1"/>
    </xf>
    <xf numFmtId="0" fontId="23" fillId="0" borderId="0" xfId="48" quotePrefix="1" applyAlignment="1">
      <alignment horizontal="left" vertical="top" wrapText="1"/>
    </xf>
    <xf numFmtId="0" fontId="23" fillId="0" borderId="0" xfId="48" applyAlignment="1">
      <alignment horizontal="left" vertical="top" wrapText="1"/>
    </xf>
    <xf numFmtId="0" fontId="23" fillId="0" borderId="0" xfId="49" quotePrefix="1" applyAlignment="1">
      <alignment horizontal="left" vertical="top" wrapText="1"/>
    </xf>
    <xf numFmtId="0" fontId="23" fillId="0" borderId="0" xfId="49" applyAlignment="1">
      <alignment horizontal="left" vertical="top" wrapText="1"/>
    </xf>
    <xf numFmtId="166" fontId="26" fillId="0" borderId="0" xfId="78" applyNumberFormat="1" applyFont="1" applyFill="1" applyBorder="1" applyAlignment="1">
      <alignment horizontal="left" vertical="center" wrapText="1"/>
    </xf>
    <xf numFmtId="0" fontId="26" fillId="0" borderId="0" xfId="78" applyFont="1" applyAlignment="1">
      <alignment horizontal="left"/>
    </xf>
    <xf numFmtId="0" fontId="26" fillId="0" borderId="0" xfId="78" applyFont="1" applyAlignment="1">
      <alignment horizontal="right"/>
    </xf>
    <xf numFmtId="0" fontId="39" fillId="0" borderId="0" xfId="62" applyFont="1" applyAlignment="1" applyProtection="1">
      <alignment horizontal="left" vertical="center" wrapText="1"/>
      <protection locked="0"/>
    </xf>
    <xf numFmtId="0" fontId="26" fillId="0" borderId="0" xfId="79" applyFont="1" applyAlignment="1">
      <alignment horizontal="left" wrapText="1"/>
    </xf>
    <xf numFmtId="0" fontId="26" fillId="0" borderId="0" xfId="79" applyFont="1" applyAlignment="1">
      <alignment horizontal="right" wrapText="1"/>
    </xf>
    <xf numFmtId="0" fontId="25" fillId="0" borderId="0" xfId="79" applyFont="1" applyAlignment="1">
      <alignment horizontal="right"/>
    </xf>
    <xf numFmtId="166" fontId="26" fillId="0" borderId="0" xfId="79" applyNumberFormat="1" applyFont="1" applyFill="1" applyBorder="1" applyAlignment="1">
      <alignment horizontal="left" vertical="center" wrapText="1"/>
    </xf>
    <xf numFmtId="0" fontId="26" fillId="0" borderId="0" xfId="79" applyFont="1" applyAlignment="1">
      <alignment horizontal="left"/>
    </xf>
    <xf numFmtId="0" fontId="26" fillId="0" borderId="0" xfId="79" applyFont="1" applyAlignment="1">
      <alignment horizontal="right"/>
    </xf>
    <xf numFmtId="0" fontId="49" fillId="5" borderId="29" xfId="6" applyFont="1" applyFill="1" applyBorder="1" applyAlignment="1" applyProtection="1">
      <alignment horizontal="center" vertical="center" wrapText="1"/>
    </xf>
    <xf numFmtId="0" fontId="49" fillId="5" borderId="31" xfId="6" applyFont="1" applyFill="1" applyBorder="1" applyAlignment="1" applyProtection="1">
      <alignment horizontal="center" vertical="center" wrapText="1"/>
    </xf>
    <xf numFmtId="0" fontId="49" fillId="6" borderId="6" xfId="6" applyFont="1" applyFill="1" applyBorder="1" applyAlignment="1">
      <alignment horizontal="center" vertical="center" wrapText="1"/>
    </xf>
    <xf numFmtId="0" fontId="49" fillId="6" borderId="30" xfId="6" applyFont="1" applyFill="1" applyBorder="1" applyAlignment="1">
      <alignment horizontal="center" vertical="center" wrapText="1"/>
    </xf>
    <xf numFmtId="0" fontId="49" fillId="6" borderId="5" xfId="6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178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46" fillId="0" borderId="0" xfId="0" applyFont="1" applyProtection="1">
      <protection locked="0"/>
    </xf>
    <xf numFmtId="0" fontId="46" fillId="0" borderId="0" xfId="0" applyFont="1" applyAlignment="1" applyProtection="1">
      <alignment horizontal="center" vertical="center" wrapText="1"/>
      <protection locked="0"/>
    </xf>
    <xf numFmtId="0" fontId="46" fillId="0" borderId="0" xfId="83" applyFont="1" applyAlignment="1">
      <alignment vertical="center"/>
    </xf>
    <xf numFmtId="0" fontId="46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51" fillId="0" borderId="27" xfId="0" applyFont="1" applyBorder="1" applyAlignment="1" applyProtection="1">
      <alignment horizontal="center" vertical="center" wrapText="1"/>
      <protection locked="0"/>
    </xf>
    <xf numFmtId="0" fontId="51" fillId="0" borderId="28" xfId="0" applyFont="1" applyBorder="1" applyAlignment="1" applyProtection="1">
      <alignment horizontal="center" vertical="center" wrapText="1"/>
      <protection locked="0"/>
    </xf>
    <xf numFmtId="0" fontId="51" fillId="0" borderId="26" xfId="0" applyFont="1" applyBorder="1" applyAlignment="1" applyProtection="1">
      <alignment horizontal="center" vertical="center" wrapText="1"/>
      <protection locked="0"/>
    </xf>
    <xf numFmtId="0" fontId="48" fillId="0" borderId="2" xfId="0" applyFont="1" applyBorder="1" applyAlignment="1" applyProtection="1">
      <alignment horizontal="center" vertical="center" wrapText="1"/>
      <protection locked="0"/>
    </xf>
    <xf numFmtId="0" fontId="48" fillId="0" borderId="3" xfId="0" applyFont="1" applyBorder="1" applyAlignment="1" applyProtection="1">
      <alignment horizontal="center" vertical="center" wrapText="1"/>
      <protection locked="0"/>
    </xf>
    <xf numFmtId="0" fontId="48" fillId="0" borderId="15" xfId="0" applyFont="1" applyBorder="1" applyAlignment="1" applyProtection="1">
      <alignment horizontal="center" vertical="center" wrapText="1"/>
      <protection locked="0"/>
    </xf>
    <xf numFmtId="0" fontId="47" fillId="0" borderId="33" xfId="0" applyFont="1" applyBorder="1" applyAlignment="1" applyProtection="1">
      <alignment horizontal="center" vertical="center" wrapText="1"/>
      <protection locked="0"/>
    </xf>
    <xf numFmtId="0" fontId="47" fillId="0" borderId="34" xfId="0" applyFont="1" applyBorder="1" applyAlignment="1" applyProtection="1">
      <alignment horizontal="center" vertical="center" wrapText="1"/>
      <protection locked="0"/>
    </xf>
    <xf numFmtId="0" fontId="47" fillId="0" borderId="35" xfId="0" applyFont="1" applyBorder="1" applyAlignment="1" applyProtection="1">
      <alignment horizontal="center" vertical="center" wrapText="1"/>
      <protection locked="0"/>
    </xf>
    <xf numFmtId="0" fontId="51" fillId="0" borderId="36" xfId="0" applyFont="1" applyBorder="1" applyAlignment="1" applyProtection="1">
      <alignment horizontal="center" vertical="center" wrapText="1"/>
      <protection locked="0"/>
    </xf>
    <xf numFmtId="49" fontId="48" fillId="0" borderId="27" xfId="0" applyNumberFormat="1" applyFont="1" applyBorder="1" applyAlignment="1" applyProtection="1">
      <alignment horizontal="center" vertical="center" wrapText="1"/>
      <protection locked="0"/>
    </xf>
    <xf numFmtId="49" fontId="48" fillId="0" borderId="28" xfId="0" applyNumberFormat="1" applyFont="1" applyBorder="1" applyAlignment="1" applyProtection="1">
      <alignment horizontal="center" vertical="center" wrapText="1"/>
      <protection locked="0"/>
    </xf>
    <xf numFmtId="49" fontId="48" fillId="0" borderId="3" xfId="0" applyNumberFormat="1" applyFont="1" applyBorder="1" applyAlignment="1" applyProtection="1">
      <alignment horizontal="center" vertical="center" wrapText="1"/>
      <protection locked="0"/>
    </xf>
    <xf numFmtId="49" fontId="51" fillId="0" borderId="15" xfId="0" applyNumberFormat="1" applyFont="1" applyBorder="1" applyAlignment="1" applyProtection="1">
      <alignment horizontal="center" vertical="center" wrapText="1"/>
      <protection locked="0"/>
    </xf>
    <xf numFmtId="0" fontId="51" fillId="0" borderId="24" xfId="0" applyFont="1" applyBorder="1" applyAlignment="1" applyProtection="1">
      <alignment horizontal="center" vertical="center" wrapText="1"/>
      <protection locked="0"/>
    </xf>
    <xf numFmtId="0" fontId="51" fillId="0" borderId="25" xfId="0" applyFont="1" applyBorder="1" applyAlignment="1" applyProtection="1">
      <alignment horizontal="center" vertical="center" wrapText="1"/>
      <protection locked="0"/>
    </xf>
    <xf numFmtId="0" fontId="51" fillId="0" borderId="37" xfId="0" applyFont="1" applyBorder="1" applyAlignment="1" applyProtection="1">
      <alignment horizontal="center" vertical="center" wrapText="1"/>
      <protection locked="0"/>
    </xf>
    <xf numFmtId="0" fontId="48" fillId="0" borderId="38" xfId="0" applyFont="1" applyBorder="1" applyAlignment="1" applyProtection="1">
      <alignment horizontal="center" vertical="center" wrapText="1"/>
      <protection locked="0"/>
    </xf>
    <xf numFmtId="0" fontId="48" fillId="0" borderId="29" xfId="0" applyFont="1" applyBorder="1" applyAlignment="1" applyProtection="1">
      <alignment horizontal="center" vertical="center" wrapText="1"/>
      <protection locked="0"/>
    </xf>
    <xf numFmtId="0" fontId="48" fillId="0" borderId="39" xfId="0" applyFont="1" applyBorder="1" applyAlignment="1" applyProtection="1">
      <alignment horizontal="center" vertical="center" wrapText="1"/>
      <protection locked="0"/>
    </xf>
    <xf numFmtId="0" fontId="47" fillId="0" borderId="32" xfId="0" applyFont="1" applyBorder="1" applyAlignment="1" applyProtection="1">
      <alignment horizontal="center" vertical="center" wrapText="1"/>
      <protection locked="0"/>
    </xf>
    <xf numFmtId="0" fontId="47" fillId="0" borderId="5" xfId="0" applyFont="1" applyBorder="1" applyAlignment="1" applyProtection="1">
      <alignment horizontal="center" vertical="center" wrapText="1"/>
      <protection locked="0"/>
    </xf>
    <xf numFmtId="0" fontId="47" fillId="0" borderId="8" xfId="0" applyFont="1" applyBorder="1" applyAlignment="1" applyProtection="1">
      <alignment horizontal="center" vertical="center" wrapText="1"/>
      <protection locked="0"/>
    </xf>
    <xf numFmtId="0" fontId="47" fillId="0" borderId="30" xfId="0" applyFont="1" applyBorder="1" applyAlignment="1" applyProtection="1">
      <alignment horizontal="center" vertical="center" wrapText="1"/>
      <protection locked="0"/>
    </xf>
    <xf numFmtId="0" fontId="47" fillId="0" borderId="6" xfId="0" applyFont="1" applyBorder="1" applyAlignment="1" applyProtection="1">
      <alignment horizontal="center" vertical="center" wrapText="1"/>
      <protection locked="0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51" fillId="0" borderId="41" xfId="0" applyFont="1" applyBorder="1" applyAlignment="1" applyProtection="1">
      <alignment horizontal="center" vertical="center" wrapText="1"/>
      <protection locked="0"/>
    </xf>
    <xf numFmtId="49" fontId="48" fillId="0" borderId="24" xfId="0" applyNumberFormat="1" applyFont="1" applyBorder="1" applyAlignment="1" applyProtection="1">
      <alignment horizontal="center" vertical="center" wrapText="1"/>
      <protection locked="0"/>
    </xf>
    <xf numFmtId="49" fontId="48" fillId="0" borderId="25" xfId="0" applyNumberFormat="1" applyFont="1" applyBorder="1" applyAlignment="1" applyProtection="1">
      <alignment horizontal="center" vertical="center" wrapText="1"/>
      <protection locked="0"/>
    </xf>
    <xf numFmtId="49" fontId="48" fillId="0" borderId="1" xfId="0" applyNumberFormat="1" applyFont="1" applyBorder="1" applyAlignment="1" applyProtection="1">
      <alignment horizontal="center" vertical="center" wrapText="1"/>
      <protection locked="0"/>
    </xf>
    <xf numFmtId="49" fontId="51" fillId="0" borderId="8" xfId="0" applyNumberFormat="1" applyFont="1" applyBorder="1" applyAlignment="1" applyProtection="1">
      <alignment horizontal="center" vertical="center" wrapText="1"/>
      <protection locked="0"/>
    </xf>
    <xf numFmtId="0" fontId="51" fillId="0" borderId="17" xfId="0" applyFont="1" applyBorder="1" applyAlignment="1" applyProtection="1">
      <alignment horizontal="center" vertical="center" wrapText="1"/>
      <protection locked="0"/>
    </xf>
    <xf numFmtId="0" fontId="51" fillId="0" borderId="18" xfId="0" applyFont="1" applyBorder="1" applyAlignment="1" applyProtection="1">
      <alignment horizontal="center" vertical="center" wrapText="1"/>
      <protection locked="0"/>
    </xf>
    <xf numFmtId="0" fontId="51" fillId="0" borderId="20" xfId="0" applyFont="1" applyBorder="1" applyAlignment="1" applyProtection="1">
      <alignment horizontal="center" vertical="center" wrapText="1"/>
      <protection locked="0"/>
    </xf>
    <xf numFmtId="0" fontId="48" fillId="0" borderId="17" xfId="0" applyFont="1" applyBorder="1" applyAlignment="1" applyProtection="1">
      <alignment horizontal="center" vertical="center" wrapText="1"/>
      <protection locked="0"/>
    </xf>
    <xf numFmtId="0" fontId="48" fillId="0" borderId="18" xfId="0" applyFont="1" applyBorder="1" applyAlignment="1" applyProtection="1">
      <alignment horizontal="center" vertical="center" wrapText="1"/>
      <protection locked="0"/>
    </xf>
    <xf numFmtId="0" fontId="48" fillId="0" borderId="20" xfId="0" applyFont="1" applyBorder="1" applyAlignment="1" applyProtection="1">
      <alignment horizontal="center" vertical="center" wrapText="1"/>
      <protection locked="0"/>
    </xf>
    <xf numFmtId="0" fontId="47" fillId="0" borderId="10" xfId="0" applyFont="1" applyBorder="1" applyAlignment="1" applyProtection="1">
      <alignment horizontal="center" vertical="center" wrapText="1"/>
      <protection locked="0"/>
    </xf>
    <xf numFmtId="0" fontId="47" fillId="0" borderId="11" xfId="0" applyFont="1" applyBorder="1" applyAlignment="1" applyProtection="1">
      <alignment horizontal="center" vertical="center" wrapText="1"/>
      <protection locked="0"/>
    </xf>
    <xf numFmtId="0" fontId="47" fillId="0" borderId="12" xfId="0" applyFont="1" applyBorder="1" applyAlignment="1" applyProtection="1">
      <alignment horizontal="center" vertical="center" wrapText="1"/>
      <protection locked="0"/>
    </xf>
    <xf numFmtId="0" fontId="48" fillId="0" borderId="10" xfId="0" applyFont="1" applyBorder="1" applyAlignment="1" applyProtection="1">
      <alignment horizontal="center" vertical="center" wrapText="1"/>
      <protection locked="0"/>
    </xf>
    <xf numFmtId="0" fontId="48" fillId="0" borderId="11" xfId="0" applyFont="1" applyBorder="1" applyAlignment="1" applyProtection="1">
      <alignment horizontal="center" vertical="center" wrapText="1"/>
      <protection locked="0"/>
    </xf>
    <xf numFmtId="0" fontId="48" fillId="0" borderId="12" xfId="0" applyFont="1" applyBorder="1" applyAlignment="1" applyProtection="1">
      <alignment horizontal="center" vertical="center" wrapText="1"/>
      <protection locked="0"/>
    </xf>
    <xf numFmtId="0" fontId="51" fillId="0" borderId="42" xfId="0" applyFont="1" applyBorder="1" applyAlignment="1" applyProtection="1">
      <alignment horizontal="center" vertical="center" wrapText="1"/>
      <protection locked="0"/>
    </xf>
    <xf numFmtId="49" fontId="48" fillId="0" borderId="17" xfId="0" applyNumberFormat="1" applyFont="1" applyBorder="1" applyAlignment="1" applyProtection="1">
      <alignment horizontal="center" vertical="center" wrapText="1"/>
      <protection locked="0"/>
    </xf>
    <xf numFmtId="49" fontId="48" fillId="0" borderId="18" xfId="0" applyNumberFormat="1" applyFont="1" applyBorder="1" applyAlignment="1" applyProtection="1">
      <alignment horizontal="center" vertical="center" wrapText="1"/>
      <protection locked="0"/>
    </xf>
    <xf numFmtId="49" fontId="48" fillId="0" borderId="11" xfId="0" applyNumberFormat="1" applyFont="1" applyBorder="1" applyAlignment="1" applyProtection="1">
      <alignment horizontal="center" vertical="center" wrapText="1"/>
      <protection locked="0"/>
    </xf>
    <xf numFmtId="49" fontId="51" fillId="0" borderId="12" xfId="0" applyNumberFormat="1" applyFont="1" applyBorder="1" applyAlignment="1" applyProtection="1">
      <alignment horizontal="center" vertical="center" wrapText="1"/>
      <protection locked="0"/>
    </xf>
    <xf numFmtId="0" fontId="52" fillId="0" borderId="43" xfId="0" applyFont="1" applyBorder="1" applyAlignment="1" applyProtection="1">
      <alignment horizontal="center" vertical="center" wrapText="1"/>
      <protection locked="0"/>
    </xf>
    <xf numFmtId="0" fontId="52" fillId="0" borderId="31" xfId="0" applyFont="1" applyBorder="1" applyAlignment="1" applyProtection="1">
      <alignment horizontal="center" vertical="center" wrapText="1"/>
      <protection locked="0"/>
    </xf>
    <xf numFmtId="0" fontId="52" fillId="0" borderId="44" xfId="0" applyFont="1" applyBorder="1" applyAlignment="1" applyProtection="1">
      <alignment horizontal="center" vertical="center" wrapText="1"/>
      <protection locked="0"/>
    </xf>
    <xf numFmtId="0" fontId="48" fillId="0" borderId="2" xfId="0" applyFont="1" applyBorder="1" applyAlignment="1" applyProtection="1">
      <alignment horizontal="center" vertical="center" wrapText="1"/>
      <protection locked="0"/>
    </xf>
    <xf numFmtId="0" fontId="48" fillId="0" borderId="3" xfId="0" applyFont="1" applyBorder="1" applyAlignment="1" applyProtection="1">
      <alignment horizontal="center" vertical="center" wrapText="1"/>
      <protection locked="0"/>
    </xf>
    <xf numFmtId="0" fontId="48" fillId="0" borderId="15" xfId="0" applyFont="1" applyBorder="1" applyAlignment="1" applyProtection="1">
      <alignment horizontal="center" vertical="center" wrapText="1"/>
      <protection locked="0"/>
    </xf>
    <xf numFmtId="0" fontId="48" fillId="0" borderId="45" xfId="0" applyFont="1" applyBorder="1" applyAlignment="1" applyProtection="1">
      <alignment horizontal="center" vertical="center" wrapText="1"/>
      <protection locked="0"/>
    </xf>
    <xf numFmtId="0" fontId="48" fillId="0" borderId="25" xfId="0" applyFont="1" applyBorder="1" applyAlignment="1" applyProtection="1">
      <alignment horizontal="center" vertical="center" wrapText="1"/>
      <protection locked="0"/>
    </xf>
    <xf numFmtId="0" fontId="48" fillId="0" borderId="14" xfId="0" applyFont="1" applyBorder="1" applyAlignment="1" applyProtection="1">
      <alignment horizontal="center" vertical="center" wrapText="1"/>
      <protection locked="0"/>
    </xf>
    <xf numFmtId="0" fontId="52" fillId="0" borderId="2" xfId="0" applyFont="1" applyBorder="1" applyAlignment="1" applyProtection="1">
      <alignment horizontal="center" vertical="center" wrapText="1"/>
      <protection locked="0"/>
    </xf>
    <xf numFmtId="0" fontId="52" fillId="0" borderId="3" xfId="0" applyFont="1" applyBorder="1" applyAlignment="1" applyProtection="1">
      <alignment horizontal="center" vertical="center" wrapText="1"/>
      <protection locked="0"/>
    </xf>
    <xf numFmtId="0" fontId="52" fillId="0" borderId="15" xfId="0" applyFont="1" applyBorder="1" applyAlignment="1" applyProtection="1">
      <alignment horizontal="center" vertical="center" wrapText="1"/>
      <protection locked="0"/>
    </xf>
    <xf numFmtId="0" fontId="52" fillId="0" borderId="4" xfId="0" applyFont="1" applyBorder="1" applyAlignment="1" applyProtection="1">
      <alignment horizontal="center" vertical="center" wrapText="1"/>
      <protection locked="0"/>
    </xf>
    <xf numFmtId="0" fontId="52" fillId="0" borderId="46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52" fillId="0" borderId="10" xfId="0" applyFont="1" applyBorder="1" applyAlignment="1" applyProtection="1">
      <alignment horizontal="center" vertical="center" wrapText="1"/>
      <protection locked="0"/>
    </xf>
    <xf numFmtId="0" fontId="52" fillId="0" borderId="11" xfId="0" applyFont="1" applyBorder="1" applyAlignment="1" applyProtection="1">
      <alignment horizontal="center" vertical="center" wrapText="1"/>
      <protection locked="0"/>
    </xf>
    <xf numFmtId="0" fontId="52" fillId="0" borderId="11" xfId="0" applyFont="1" applyBorder="1" applyAlignment="1" applyProtection="1">
      <alignment horizontal="left" vertical="center" wrapText="1"/>
      <protection locked="0"/>
    </xf>
    <xf numFmtId="179" fontId="52" fillId="0" borderId="13" xfId="0" applyNumberFormat="1" applyFont="1" applyBorder="1" applyAlignment="1" applyProtection="1">
      <alignment vertical="center" wrapText="1"/>
      <protection locked="0"/>
    </xf>
    <xf numFmtId="179" fontId="52" fillId="0" borderId="10" xfId="0" applyNumberFormat="1" applyFont="1" applyBorder="1" applyAlignment="1" applyProtection="1">
      <alignment horizontal="center" vertical="center" wrapText="1"/>
      <protection locked="0"/>
    </xf>
    <xf numFmtId="179" fontId="52" fillId="0" borderId="11" xfId="0" applyNumberFormat="1" applyFont="1" applyBorder="1" applyAlignment="1" applyProtection="1">
      <alignment horizontal="center" vertical="center" wrapText="1"/>
      <protection locked="0"/>
    </xf>
    <xf numFmtId="179" fontId="52" fillId="0" borderId="12" xfId="0" applyNumberFormat="1" applyFont="1" applyBorder="1" applyAlignment="1" applyProtection="1">
      <alignment horizontal="center" vertical="center" wrapText="1"/>
      <protection locked="0"/>
    </xf>
    <xf numFmtId="179" fontId="52" fillId="0" borderId="47" xfId="0" applyNumberFormat="1" applyFont="1" applyBorder="1" applyAlignment="1" applyProtection="1">
      <alignment horizontal="center" vertical="center" wrapText="1"/>
      <protection locked="0"/>
    </xf>
    <xf numFmtId="179" fontId="52" fillId="0" borderId="13" xfId="0" applyNumberFormat="1" applyFont="1" applyBorder="1" applyAlignment="1" applyProtection="1">
      <alignment horizontal="center" vertical="center" wrapText="1"/>
      <protection locked="0"/>
    </xf>
    <xf numFmtId="179" fontId="51" fillId="0" borderId="48" xfId="0" applyNumberFormat="1" applyFont="1" applyBorder="1" applyAlignment="1" applyProtection="1">
      <alignment horizontal="center" vertical="center" wrapText="1"/>
      <protection locked="0"/>
    </xf>
    <xf numFmtId="179" fontId="51" fillId="0" borderId="12" xfId="0" applyNumberFormat="1" applyFont="1" applyBorder="1" applyAlignment="1" applyProtection="1">
      <alignment horizontal="center" vertical="center" wrapText="1"/>
      <protection locked="0"/>
    </xf>
    <xf numFmtId="180" fontId="30" fillId="0" borderId="0" xfId="0" applyNumberFormat="1" applyFont="1" applyProtection="1">
      <protection locked="0"/>
    </xf>
    <xf numFmtId="43" fontId="30" fillId="0" borderId="0" xfId="0" applyNumberFormat="1" applyFont="1" applyAlignment="1" applyProtection="1">
      <alignment horizontal="center" vertical="center"/>
      <protection locked="0"/>
    </xf>
    <xf numFmtId="43" fontId="30" fillId="0" borderId="0" xfId="0" applyNumberFormat="1" applyFont="1" applyProtection="1">
      <protection locked="0"/>
    </xf>
    <xf numFmtId="0" fontId="36" fillId="0" borderId="0" xfId="0" applyFont="1" applyBorder="1" applyAlignment="1" applyProtection="1">
      <alignment horizontal="center" vertical="center"/>
      <protection locked="0"/>
    </xf>
    <xf numFmtId="164" fontId="36" fillId="0" borderId="0" xfId="0" applyNumberFormat="1" applyFont="1" applyBorder="1" applyAlignment="1" applyProtection="1">
      <alignment horizontal="center" vertical="center" wrapText="1"/>
      <protection hidden="1"/>
    </xf>
    <xf numFmtId="179" fontId="36" fillId="0" borderId="0" xfId="0" applyNumberFormat="1" applyFont="1" applyBorder="1" applyAlignment="1" applyProtection="1">
      <alignment horizontal="center" vertical="center"/>
      <protection locked="0"/>
    </xf>
    <xf numFmtId="181" fontId="36" fillId="0" borderId="0" xfId="0" applyNumberFormat="1" applyFont="1" applyBorder="1" applyAlignment="1" applyProtection="1">
      <alignment horizontal="center" vertical="center"/>
      <protection locked="0"/>
    </xf>
    <xf numFmtId="0" fontId="36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83" applyFont="1" applyAlignment="1">
      <alignment horizontal="right" vertical="center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</cellXfs>
  <cellStyles count="84"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2 10 10" xfId="83"/>
    <cellStyle name="Обычный 3" xfId="56"/>
    <cellStyle name="Обычный 3 2" xfId="66"/>
    <cellStyle name="Обычный 3 3" xfId="69"/>
    <cellStyle name="Обычный 3 4" xfId="73"/>
    <cellStyle name="Обычный 3 5" xfId="76"/>
    <cellStyle name="Обычный 3 6" xfId="80"/>
    <cellStyle name="Обычный 4" xfId="58"/>
    <cellStyle name="Обычный 4 2" xfId="60"/>
    <cellStyle name="Обычный 4 2 2" xfId="63"/>
    <cellStyle name="Обычный 4 2 2 2" xfId="68"/>
    <cellStyle name="Обычный 4 2 2 3" xfId="72"/>
    <cellStyle name="Обычный 4 2 2 4" xfId="75"/>
    <cellStyle name="Обычный 4 2 2 5" xfId="79"/>
    <cellStyle name="Обычный 4 2 3" xfId="65"/>
    <cellStyle name="Обычный 4 2 4" xfId="67"/>
    <cellStyle name="Обычный 4 2 5" xfId="71"/>
    <cellStyle name="Обычный 4 2 6" xfId="74"/>
    <cellStyle name="Обычный 4 2 7" xfId="78"/>
    <cellStyle name="Обычный 4 2 8" xfId="82"/>
    <cellStyle name="Обычный 5" xfId="64"/>
    <cellStyle name="Обычный 6" xfId="70"/>
    <cellStyle name="Обычный 7" xfId="77"/>
    <cellStyle name="Обычный 8" xfId="81"/>
    <cellStyle name="Стиль 1" xfId="62"/>
    <cellStyle name="Финансовый 2" xfId="57"/>
    <cellStyle name="Финансовый 3" xfId="59"/>
    <cellStyle name="Финансовый 3 2" xfId="61"/>
  </cellStyles>
  <dxfs count="10"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3752850</xdr:colOff>
      <xdr:row>46</xdr:row>
      <xdr:rowOff>238125</xdr:rowOff>
    </xdr:from>
    <xdr:to>
      <xdr:col>2</xdr:col>
      <xdr:colOff>0</xdr:colOff>
      <xdr:row>48</xdr:row>
      <xdr:rowOff>38100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14039850"/>
          <a:ext cx="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234202</xdr:colOff>
      <xdr:row>49</xdr:row>
      <xdr:rowOff>36419</xdr:rowOff>
    </xdr:from>
    <xdr:to>
      <xdr:col>4</xdr:col>
      <xdr:colOff>235323</xdr:colOff>
      <xdr:row>51</xdr:row>
      <xdr:rowOff>228601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1527" y="14819219"/>
          <a:ext cx="1121" cy="5827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1972235</xdr:colOff>
      <xdr:row>49</xdr:row>
      <xdr:rowOff>156882</xdr:rowOff>
    </xdr:from>
    <xdr:to>
      <xdr:col>4</xdr:col>
      <xdr:colOff>11204</xdr:colOff>
      <xdr:row>52</xdr:row>
      <xdr:rowOff>69569</xdr:rowOff>
    </xdr:to>
    <xdr:pic>
      <xdr:nvPicPr>
        <xdr:cNvPr id="4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781985" y="14939682"/>
          <a:ext cx="1496544" cy="7127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11206</xdr:colOff>
      <xdr:row>42</xdr:row>
      <xdr:rowOff>235323</xdr:rowOff>
    </xdr:from>
    <xdr:to>
      <xdr:col>5</xdr:col>
      <xdr:colOff>414538</xdr:colOff>
      <xdr:row>44</xdr:row>
      <xdr:rowOff>224838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78531" y="12751173"/>
          <a:ext cx="1098657" cy="5895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2286001</xdr:colOff>
      <xdr:row>39</xdr:row>
      <xdr:rowOff>324971</xdr:rowOff>
    </xdr:from>
    <xdr:to>
      <xdr:col>7</xdr:col>
      <xdr:colOff>27484</xdr:colOff>
      <xdr:row>43</xdr:row>
      <xdr:rowOff>167990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1" y="12050246"/>
          <a:ext cx="3285033" cy="8907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67235</xdr:colOff>
      <xdr:row>46</xdr:row>
      <xdr:rowOff>268942</xdr:rowOff>
    </xdr:from>
    <xdr:to>
      <xdr:col>4</xdr:col>
      <xdr:colOff>472609</xdr:colOff>
      <xdr:row>48</xdr:row>
      <xdr:rowOff>17930</xdr:rowOff>
    </xdr:to>
    <xdr:pic>
      <xdr:nvPicPr>
        <xdr:cNvPr id="7" name="Рисунок 1" descr="Подпись Сажина Алексея.tif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639235" y="14070667"/>
          <a:ext cx="1100698" cy="5300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3752850</xdr:colOff>
      <xdr:row>46</xdr:row>
      <xdr:rowOff>238125</xdr:rowOff>
    </xdr:from>
    <xdr:to>
      <xdr:col>2</xdr:col>
      <xdr:colOff>0</xdr:colOff>
      <xdr:row>48</xdr:row>
      <xdr:rowOff>38100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14039850"/>
          <a:ext cx="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234202</xdr:colOff>
      <xdr:row>49</xdr:row>
      <xdr:rowOff>36419</xdr:rowOff>
    </xdr:from>
    <xdr:to>
      <xdr:col>4</xdr:col>
      <xdr:colOff>235323</xdr:colOff>
      <xdr:row>51</xdr:row>
      <xdr:rowOff>228601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1527" y="14819219"/>
          <a:ext cx="1121" cy="5827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1972235</xdr:colOff>
      <xdr:row>49</xdr:row>
      <xdr:rowOff>156882</xdr:rowOff>
    </xdr:from>
    <xdr:to>
      <xdr:col>4</xdr:col>
      <xdr:colOff>11204</xdr:colOff>
      <xdr:row>52</xdr:row>
      <xdr:rowOff>69569</xdr:rowOff>
    </xdr:to>
    <xdr:pic>
      <xdr:nvPicPr>
        <xdr:cNvPr id="4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781985" y="14939682"/>
          <a:ext cx="1496544" cy="7127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11206</xdr:colOff>
      <xdr:row>42</xdr:row>
      <xdr:rowOff>235323</xdr:rowOff>
    </xdr:from>
    <xdr:to>
      <xdr:col>5</xdr:col>
      <xdr:colOff>414538</xdr:colOff>
      <xdr:row>44</xdr:row>
      <xdr:rowOff>224838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78531" y="12751173"/>
          <a:ext cx="1098657" cy="5895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2286001</xdr:colOff>
      <xdr:row>39</xdr:row>
      <xdr:rowOff>324971</xdr:rowOff>
    </xdr:from>
    <xdr:to>
      <xdr:col>7</xdr:col>
      <xdr:colOff>27484</xdr:colOff>
      <xdr:row>43</xdr:row>
      <xdr:rowOff>167990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1" y="12050246"/>
          <a:ext cx="3285033" cy="8907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67235</xdr:colOff>
      <xdr:row>46</xdr:row>
      <xdr:rowOff>268942</xdr:rowOff>
    </xdr:from>
    <xdr:to>
      <xdr:col>4</xdr:col>
      <xdr:colOff>472609</xdr:colOff>
      <xdr:row>48</xdr:row>
      <xdr:rowOff>17930</xdr:rowOff>
    </xdr:to>
    <xdr:pic>
      <xdr:nvPicPr>
        <xdr:cNvPr id="7" name="Рисунок 1" descr="Подпись Сажина Алексея.tif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639235" y="14070667"/>
          <a:ext cx="1100698" cy="5300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3752850</xdr:colOff>
      <xdr:row>46</xdr:row>
      <xdr:rowOff>238125</xdr:rowOff>
    </xdr:from>
    <xdr:to>
      <xdr:col>2</xdr:col>
      <xdr:colOff>0</xdr:colOff>
      <xdr:row>48</xdr:row>
      <xdr:rowOff>38100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14039850"/>
          <a:ext cx="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234202</xdr:colOff>
      <xdr:row>49</xdr:row>
      <xdr:rowOff>36419</xdr:rowOff>
    </xdr:from>
    <xdr:to>
      <xdr:col>4</xdr:col>
      <xdr:colOff>235323</xdr:colOff>
      <xdr:row>51</xdr:row>
      <xdr:rowOff>228601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1527" y="14819219"/>
          <a:ext cx="1121" cy="5827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1972235</xdr:colOff>
      <xdr:row>49</xdr:row>
      <xdr:rowOff>156882</xdr:rowOff>
    </xdr:from>
    <xdr:to>
      <xdr:col>4</xdr:col>
      <xdr:colOff>11204</xdr:colOff>
      <xdr:row>52</xdr:row>
      <xdr:rowOff>69569</xdr:rowOff>
    </xdr:to>
    <xdr:pic>
      <xdr:nvPicPr>
        <xdr:cNvPr id="4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781985" y="14939682"/>
          <a:ext cx="1496544" cy="7127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11206</xdr:colOff>
      <xdr:row>42</xdr:row>
      <xdr:rowOff>235323</xdr:rowOff>
    </xdr:from>
    <xdr:to>
      <xdr:col>5</xdr:col>
      <xdr:colOff>414538</xdr:colOff>
      <xdr:row>44</xdr:row>
      <xdr:rowOff>224838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78531" y="12751173"/>
          <a:ext cx="1098657" cy="5895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2286001</xdr:colOff>
      <xdr:row>39</xdr:row>
      <xdr:rowOff>324971</xdr:rowOff>
    </xdr:from>
    <xdr:to>
      <xdr:col>7</xdr:col>
      <xdr:colOff>27484</xdr:colOff>
      <xdr:row>43</xdr:row>
      <xdr:rowOff>167990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1" y="12050246"/>
          <a:ext cx="3285033" cy="8907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67235</xdr:colOff>
      <xdr:row>46</xdr:row>
      <xdr:rowOff>268942</xdr:rowOff>
    </xdr:from>
    <xdr:to>
      <xdr:col>4</xdr:col>
      <xdr:colOff>472609</xdr:colOff>
      <xdr:row>48</xdr:row>
      <xdr:rowOff>17930</xdr:rowOff>
    </xdr:to>
    <xdr:pic>
      <xdr:nvPicPr>
        <xdr:cNvPr id="7" name="Рисунок 1" descr="Подпись Сажина Алексея.tif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639235" y="14070667"/>
          <a:ext cx="1100698" cy="5300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3752850</xdr:colOff>
      <xdr:row>46</xdr:row>
      <xdr:rowOff>238125</xdr:rowOff>
    </xdr:from>
    <xdr:to>
      <xdr:col>2</xdr:col>
      <xdr:colOff>0</xdr:colOff>
      <xdr:row>48</xdr:row>
      <xdr:rowOff>38100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14039850"/>
          <a:ext cx="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234202</xdr:colOff>
      <xdr:row>49</xdr:row>
      <xdr:rowOff>36419</xdr:rowOff>
    </xdr:from>
    <xdr:to>
      <xdr:col>4</xdr:col>
      <xdr:colOff>235323</xdr:colOff>
      <xdr:row>51</xdr:row>
      <xdr:rowOff>228601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1527" y="14819219"/>
          <a:ext cx="1121" cy="5827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1972235</xdr:colOff>
      <xdr:row>49</xdr:row>
      <xdr:rowOff>156882</xdr:rowOff>
    </xdr:from>
    <xdr:to>
      <xdr:col>4</xdr:col>
      <xdr:colOff>11204</xdr:colOff>
      <xdr:row>52</xdr:row>
      <xdr:rowOff>69569</xdr:rowOff>
    </xdr:to>
    <xdr:pic>
      <xdr:nvPicPr>
        <xdr:cNvPr id="4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781985" y="14939682"/>
          <a:ext cx="1496544" cy="7127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11206</xdr:colOff>
      <xdr:row>42</xdr:row>
      <xdr:rowOff>235323</xdr:rowOff>
    </xdr:from>
    <xdr:to>
      <xdr:col>5</xdr:col>
      <xdr:colOff>414538</xdr:colOff>
      <xdr:row>44</xdr:row>
      <xdr:rowOff>224838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78531" y="12751173"/>
          <a:ext cx="1098657" cy="5895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2286001</xdr:colOff>
      <xdr:row>39</xdr:row>
      <xdr:rowOff>324971</xdr:rowOff>
    </xdr:from>
    <xdr:to>
      <xdr:col>7</xdr:col>
      <xdr:colOff>27484</xdr:colOff>
      <xdr:row>43</xdr:row>
      <xdr:rowOff>167990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1" y="12050246"/>
          <a:ext cx="3285033" cy="8907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67235</xdr:colOff>
      <xdr:row>46</xdr:row>
      <xdr:rowOff>268942</xdr:rowOff>
    </xdr:from>
    <xdr:to>
      <xdr:col>4</xdr:col>
      <xdr:colOff>472608</xdr:colOff>
      <xdr:row>48</xdr:row>
      <xdr:rowOff>17930</xdr:rowOff>
    </xdr:to>
    <xdr:pic>
      <xdr:nvPicPr>
        <xdr:cNvPr id="7" name="Рисунок 1" descr="Подпись Сажина Алексея.tif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639235" y="14070667"/>
          <a:ext cx="1100698" cy="5300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="85" zoomScaleNormal="85" zoomScaleSheetLayoutView="70" workbookViewId="0">
      <pane xSplit="3" ySplit="7" topLeftCell="D8" activePane="bottomRight" state="frozen"/>
      <selection pane="topRight" activeCell="D1" sqref="D1"/>
      <selection pane="bottomLeft" activeCell="A10" sqref="A10"/>
      <selection pane="bottomRight" activeCell="I5" sqref="I5:M5"/>
    </sheetView>
  </sheetViews>
  <sheetFormatPr defaultRowHeight="12.75" x14ac:dyDescent="0.2"/>
  <cols>
    <col min="1" max="1" width="5.140625" style="12" customWidth="1"/>
    <col min="2" max="2" width="19.28515625" style="1" customWidth="1"/>
    <col min="3" max="3" width="41.42578125" style="1" customWidth="1"/>
    <col min="4" max="7" width="10.42578125" style="1" customWidth="1"/>
    <col min="8" max="8" width="13.140625" style="1" customWidth="1"/>
    <col min="9" max="13" width="10.42578125" style="5" customWidth="1"/>
    <col min="14" max="17" width="10.42578125" style="1" customWidth="1"/>
    <col min="18" max="18" width="12.7109375" style="1" customWidth="1"/>
    <col min="19" max="19" width="9.140625" style="1"/>
    <col min="20" max="20" width="11.7109375" style="1" bestFit="1" customWidth="1"/>
    <col min="21" max="21" width="11.5703125" style="1" bestFit="1" customWidth="1"/>
    <col min="22" max="16384" width="9.140625" style="1"/>
  </cols>
  <sheetData>
    <row r="1" spans="1:18" ht="15" x14ac:dyDescent="0.25">
      <c r="A1" s="11"/>
      <c r="B1"/>
      <c r="C1" s="9"/>
      <c r="D1" s="9"/>
      <c r="E1" s="9"/>
      <c r="F1" s="9"/>
      <c r="G1" s="9"/>
      <c r="H1" s="9"/>
      <c r="I1" s="86"/>
      <c r="J1" s="86"/>
      <c r="K1" s="86"/>
      <c r="L1" s="86"/>
      <c r="M1" s="86"/>
      <c r="N1" s="92"/>
      <c r="O1" s="93"/>
      <c r="Q1" s="93"/>
      <c r="R1" s="94" t="s">
        <v>58</v>
      </c>
    </row>
    <row r="2" spans="1:18" ht="53.25" customHeight="1" x14ac:dyDescent="0.25">
      <c r="A2" s="85"/>
      <c r="B2" s="135" t="s">
        <v>106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85"/>
      <c r="O2" s="85"/>
      <c r="P2" s="136" t="s">
        <v>59</v>
      </c>
      <c r="Q2" s="136"/>
      <c r="R2" s="136"/>
    </row>
    <row r="3" spans="1:18" ht="54" customHeight="1" x14ac:dyDescent="0.25">
      <c r="A3" s="137"/>
      <c r="B3" s="138"/>
      <c r="C3" s="138"/>
      <c r="D3" s="138"/>
      <c r="E3" s="138"/>
      <c r="F3" s="138"/>
      <c r="G3" s="138"/>
      <c r="H3" s="138"/>
      <c r="I3" s="3"/>
      <c r="J3" s="3"/>
      <c r="K3" s="3"/>
      <c r="L3" s="3"/>
      <c r="M3" s="3"/>
      <c r="P3" s="139" t="s">
        <v>60</v>
      </c>
      <c r="Q3" s="139"/>
      <c r="R3" s="139"/>
    </row>
    <row r="4" spans="1:18" ht="23.25" customHeight="1" thickBot="1" x14ac:dyDescent="0.25">
      <c r="A4" s="89"/>
      <c r="B4" s="90"/>
      <c r="C4" s="90"/>
      <c r="D4" s="90"/>
      <c r="E4" s="90"/>
      <c r="F4" s="90"/>
      <c r="G4" s="90"/>
      <c r="H4" s="90"/>
      <c r="I4" s="3"/>
      <c r="J4" s="3"/>
      <c r="K4" s="3"/>
      <c r="L4" s="3"/>
      <c r="M4" s="3"/>
      <c r="P4" s="95"/>
      <c r="Q4" s="95"/>
      <c r="R4" s="95"/>
    </row>
    <row r="5" spans="1:18" ht="81.599999999999994" customHeight="1" thickBot="1" x14ac:dyDescent="0.25">
      <c r="A5" s="140" t="s">
        <v>20</v>
      </c>
      <c r="B5" s="142" t="s">
        <v>6</v>
      </c>
      <c r="C5" s="144" t="s">
        <v>7</v>
      </c>
      <c r="D5" s="146" t="s">
        <v>110</v>
      </c>
      <c r="E5" s="147"/>
      <c r="F5" s="147"/>
      <c r="G5" s="147"/>
      <c r="H5" s="148"/>
      <c r="I5" s="149" t="s">
        <v>111</v>
      </c>
      <c r="J5" s="150"/>
      <c r="K5" s="150"/>
      <c r="L5" s="150"/>
      <c r="M5" s="151"/>
      <c r="N5" s="152" t="s">
        <v>61</v>
      </c>
      <c r="O5" s="153"/>
      <c r="P5" s="153"/>
      <c r="Q5" s="153"/>
      <c r="R5" s="154"/>
    </row>
    <row r="6" spans="1:18" ht="51.75" customHeight="1" thickBot="1" x14ac:dyDescent="0.25">
      <c r="A6" s="141"/>
      <c r="B6" s="143"/>
      <c r="C6" s="145"/>
      <c r="D6" s="13" t="s">
        <v>0</v>
      </c>
      <c r="E6" s="14" t="s">
        <v>1</v>
      </c>
      <c r="F6" s="14" t="s">
        <v>2</v>
      </c>
      <c r="G6" s="15" t="s">
        <v>3</v>
      </c>
      <c r="H6" s="41" t="s">
        <v>8</v>
      </c>
      <c r="I6" s="42" t="s">
        <v>0</v>
      </c>
      <c r="J6" s="43" t="s">
        <v>1</v>
      </c>
      <c r="K6" s="43" t="s">
        <v>2</v>
      </c>
      <c r="L6" s="44" t="s">
        <v>3</v>
      </c>
      <c r="M6" s="45" t="s">
        <v>8</v>
      </c>
      <c r="N6" s="42" t="s">
        <v>0</v>
      </c>
      <c r="O6" s="43" t="s">
        <v>1</v>
      </c>
      <c r="P6" s="43" t="s">
        <v>2</v>
      </c>
      <c r="Q6" s="44" t="s">
        <v>3</v>
      </c>
      <c r="R6" s="46" t="s">
        <v>8</v>
      </c>
    </row>
    <row r="7" spans="1:18" ht="14.25" customHeight="1" x14ac:dyDescent="0.2">
      <c r="A7" s="18">
        <v>1</v>
      </c>
      <c r="B7" s="19">
        <v>2</v>
      </c>
      <c r="C7" s="20">
        <v>3</v>
      </c>
      <c r="D7" s="21">
        <v>4</v>
      </c>
      <c r="E7" s="22">
        <v>5</v>
      </c>
      <c r="F7" s="22">
        <v>6</v>
      </c>
      <c r="G7" s="23">
        <v>7</v>
      </c>
      <c r="H7" s="24">
        <v>8</v>
      </c>
      <c r="I7" s="25">
        <v>9</v>
      </c>
      <c r="J7" s="26">
        <v>10</v>
      </c>
      <c r="K7" s="26">
        <v>11</v>
      </c>
      <c r="L7" s="27">
        <v>12</v>
      </c>
      <c r="M7" s="28">
        <v>13</v>
      </c>
      <c r="N7" s="25">
        <v>32</v>
      </c>
      <c r="O7" s="26">
        <v>33</v>
      </c>
      <c r="P7" s="26">
        <v>34</v>
      </c>
      <c r="Q7" s="27">
        <v>35</v>
      </c>
      <c r="R7" s="28">
        <v>36</v>
      </c>
    </row>
    <row r="8" spans="1:18" ht="14.25" hidden="1" customHeight="1" x14ac:dyDescent="0.2">
      <c r="A8" s="156" t="s">
        <v>36</v>
      </c>
      <c r="B8" s="157"/>
      <c r="C8" s="158"/>
      <c r="D8" s="50"/>
      <c r="E8" s="87"/>
      <c r="F8" s="87"/>
      <c r="G8" s="87"/>
      <c r="H8" s="51"/>
      <c r="I8" s="50"/>
      <c r="J8" s="87"/>
      <c r="K8" s="87"/>
      <c r="L8" s="87"/>
      <c r="M8" s="51"/>
      <c r="N8" s="66"/>
      <c r="O8" s="30"/>
      <c r="P8" s="30"/>
      <c r="Q8" s="30"/>
      <c r="R8" s="67"/>
    </row>
    <row r="9" spans="1:18" ht="39.75" hidden="1" customHeight="1" x14ac:dyDescent="0.2">
      <c r="A9" s="72"/>
      <c r="B9" s="73"/>
      <c r="C9" s="74"/>
      <c r="D9" s="52">
        <f>I9*6.42</f>
        <v>0</v>
      </c>
      <c r="E9" s="31"/>
      <c r="F9" s="31"/>
      <c r="G9" s="31"/>
      <c r="H9" s="53">
        <f>SUM(D9:G9)</f>
        <v>0</v>
      </c>
      <c r="I9" s="52"/>
      <c r="J9" s="31"/>
      <c r="K9" s="31"/>
      <c r="L9" s="31"/>
      <c r="M9" s="53">
        <f>SUM(I9:L9)</f>
        <v>0</v>
      </c>
      <c r="N9" s="52">
        <f>I9*6.35</f>
        <v>0</v>
      </c>
      <c r="O9" s="31"/>
      <c r="P9" s="31"/>
      <c r="Q9" s="31"/>
      <c r="R9" s="53">
        <f>N9+O9+P9+Q9</f>
        <v>0</v>
      </c>
    </row>
    <row r="10" spans="1:18" ht="14.25" hidden="1" customHeight="1" x14ac:dyDescent="0.2">
      <c r="A10" s="75"/>
      <c r="B10" s="76" t="s">
        <v>19</v>
      </c>
      <c r="C10" s="77" t="s">
        <v>34</v>
      </c>
      <c r="D10" s="54">
        <f t="shared" ref="D10:Q10" si="0">D9</f>
        <v>0</v>
      </c>
      <c r="E10" s="34">
        <f t="shared" si="0"/>
        <v>0</v>
      </c>
      <c r="F10" s="34">
        <f t="shared" si="0"/>
        <v>0</v>
      </c>
      <c r="G10" s="34">
        <f t="shared" si="0"/>
        <v>0</v>
      </c>
      <c r="H10" s="53">
        <f>SUM(D10:G10)</f>
        <v>0</v>
      </c>
      <c r="I10" s="54">
        <f t="shared" si="0"/>
        <v>0</v>
      </c>
      <c r="J10" s="34">
        <f>J9</f>
        <v>0</v>
      </c>
      <c r="K10" s="34">
        <f t="shared" si="0"/>
        <v>0</v>
      </c>
      <c r="L10" s="34">
        <f t="shared" si="0"/>
        <v>0</v>
      </c>
      <c r="M10" s="53">
        <f>SUM(I10:L10)</f>
        <v>0</v>
      </c>
      <c r="N10" s="5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53">
        <f>SUM(N10:Q10)</f>
        <v>0</v>
      </c>
    </row>
    <row r="11" spans="1:18" ht="16.5" customHeight="1" x14ac:dyDescent="0.2">
      <c r="A11" s="159" t="s">
        <v>9</v>
      </c>
      <c r="B11" s="157"/>
      <c r="C11" s="158"/>
      <c r="D11" s="50"/>
      <c r="E11" s="87"/>
      <c r="F11" s="87"/>
      <c r="G11" s="87"/>
      <c r="H11" s="53"/>
      <c r="I11" s="50"/>
      <c r="J11" s="88"/>
      <c r="K11" s="88"/>
      <c r="L11" s="87"/>
      <c r="M11" s="51"/>
      <c r="N11" s="50"/>
      <c r="O11" s="87"/>
      <c r="P11" s="87"/>
      <c r="Q11" s="87"/>
      <c r="R11" s="51"/>
    </row>
    <row r="12" spans="1:18" ht="51" customHeight="1" x14ac:dyDescent="0.2">
      <c r="A12" s="72">
        <v>1</v>
      </c>
      <c r="B12" s="73" t="s">
        <v>42</v>
      </c>
      <c r="C12" s="74" t="s">
        <v>62</v>
      </c>
      <c r="D12" s="52">
        <v>0</v>
      </c>
      <c r="E12" s="31">
        <f>J12*4.9*1.003</f>
        <v>6487.8536459029992</v>
      </c>
      <c r="F12" s="31">
        <f>K12*4.28</f>
        <v>24655.256720000001</v>
      </c>
      <c r="G12" s="31"/>
      <c r="H12" s="53">
        <f t="shared" ref="H12:H14" si="1">SUM(D12:G12)</f>
        <v>31143.110365903001</v>
      </c>
      <c r="I12" s="80"/>
      <c r="J12" s="31">
        <f>0.38453*3433</f>
        <v>1320.09149</v>
      </c>
      <c r="K12" s="31">
        <f>1.678*3433</f>
        <v>5760.5739999999996</v>
      </c>
      <c r="L12" s="31"/>
      <c r="M12" s="53">
        <f>SUM(I12:L12)</f>
        <v>7080.6654899999994</v>
      </c>
      <c r="N12" s="80"/>
      <c r="O12" s="31">
        <f>J12*4.21*1.003</f>
        <v>5574.2579284186986</v>
      </c>
      <c r="P12" s="31">
        <f>K12*3.82</f>
        <v>22005.392679999997</v>
      </c>
      <c r="Q12" s="31"/>
      <c r="R12" s="53">
        <f>SUM(N12:Q12)</f>
        <v>27579.650608418695</v>
      </c>
    </row>
    <row r="13" spans="1:18" ht="60" x14ac:dyDescent="0.2">
      <c r="A13" s="72">
        <v>2</v>
      </c>
      <c r="B13" s="73" t="s">
        <v>63</v>
      </c>
      <c r="C13" s="74" t="s">
        <v>64</v>
      </c>
      <c r="D13" s="52"/>
      <c r="E13" s="31">
        <f>J13*4.9*1.003</f>
        <v>3038.1315011040001</v>
      </c>
      <c r="F13" s="31">
        <f t="shared" ref="F13:F14" si="2">K13*4.28</f>
        <v>14214.393600000003</v>
      </c>
      <c r="G13" s="31"/>
      <c r="H13" s="53">
        <f t="shared" si="1"/>
        <v>17252.525101104002</v>
      </c>
      <c r="I13" s="80"/>
      <c r="J13" s="31">
        <f>0.69614*888</f>
        <v>618.17232000000001</v>
      </c>
      <c r="K13" s="31">
        <f>3.74*888</f>
        <v>3321.1200000000003</v>
      </c>
      <c r="L13" s="31"/>
      <c r="M13" s="53">
        <f>SUM(I13:L13)</f>
        <v>3939.2923200000005</v>
      </c>
      <c r="N13" s="80"/>
      <c r="O13" s="31">
        <f t="shared" ref="O13" si="3">J13*4.21*1.003</f>
        <v>2610.3129836015996</v>
      </c>
      <c r="P13" s="31">
        <f>K13*3.82</f>
        <v>12686.678400000001</v>
      </c>
      <c r="Q13" s="31"/>
      <c r="R13" s="53">
        <f>SUM(N13:Q13)</f>
        <v>15296.9913836016</v>
      </c>
    </row>
    <row r="14" spans="1:18" ht="54" customHeight="1" x14ac:dyDescent="0.2">
      <c r="A14" s="72">
        <v>3</v>
      </c>
      <c r="B14" s="73" t="s">
        <v>65</v>
      </c>
      <c r="C14" s="74" t="s">
        <v>66</v>
      </c>
      <c r="D14" s="52"/>
      <c r="E14" s="31">
        <f>J14*7.29*1.003</f>
        <v>2215.3899298166998</v>
      </c>
      <c r="F14" s="31">
        <f t="shared" si="2"/>
        <v>5182.5377239999998</v>
      </c>
      <c r="G14" s="31"/>
      <c r="H14" s="53">
        <f t="shared" si="1"/>
        <v>7397.9276538166996</v>
      </c>
      <c r="I14" s="80"/>
      <c r="J14" s="31">
        <f>3.32951*91</f>
        <v>302.98541</v>
      </c>
      <c r="K14" s="31">
        <f>13.3063*91</f>
        <v>1210.8733</v>
      </c>
      <c r="L14" s="31"/>
      <c r="M14" s="53">
        <f>SUM(I14:L14)</f>
        <v>1513.85871</v>
      </c>
      <c r="N14" s="80"/>
      <c r="O14" s="31">
        <f>J14*6.35*1.003</f>
        <v>1929.7292255604998</v>
      </c>
      <c r="P14" s="31">
        <f t="shared" ref="P14" si="4">K14*3.82</f>
        <v>4625.5360059999994</v>
      </c>
      <c r="Q14" s="31"/>
      <c r="R14" s="53">
        <f>SUM(N14:Q14)</f>
        <v>6555.2652315604992</v>
      </c>
    </row>
    <row r="15" spans="1:18" ht="23.25" customHeight="1" x14ac:dyDescent="0.2">
      <c r="A15" s="75"/>
      <c r="B15" s="76" t="s">
        <v>19</v>
      </c>
      <c r="C15" s="77" t="s">
        <v>10</v>
      </c>
      <c r="D15" s="54">
        <f>SUM(D12:D14)</f>
        <v>0</v>
      </c>
      <c r="E15" s="34">
        <f>SUM(E12:E14)</f>
        <v>11741.375076823699</v>
      </c>
      <c r="F15" s="34">
        <f t="shared" ref="F15:G15" si="5">SUM(F12:F14)</f>
        <v>44052.188044000002</v>
      </c>
      <c r="G15" s="34">
        <f t="shared" si="5"/>
        <v>0</v>
      </c>
      <c r="H15" s="53">
        <f>SUM(D15:G15)</f>
        <v>55793.563120823703</v>
      </c>
      <c r="I15" s="54">
        <f>SUM(I12:I14)</f>
        <v>0</v>
      </c>
      <c r="J15" s="34">
        <f>SUM(J12:J14)</f>
        <v>2241.2492199999997</v>
      </c>
      <c r="K15" s="34">
        <f>SUM(K12:K14)</f>
        <v>10292.567299999999</v>
      </c>
      <c r="L15" s="34">
        <f t="shared" ref="L15" si="6">SUM(L12:L14)</f>
        <v>0</v>
      </c>
      <c r="M15" s="53">
        <f>SUM(I15:L15)</f>
        <v>12533.816519999998</v>
      </c>
      <c r="N15" s="81">
        <f>N12+N14</f>
        <v>0</v>
      </c>
      <c r="O15" s="34">
        <f>SUM(O12:O14)</f>
        <v>10114.300137580798</v>
      </c>
      <c r="P15" s="34">
        <f>SUM(P12:P14)</f>
        <v>39317.607085999996</v>
      </c>
      <c r="Q15" s="34">
        <f t="shared" ref="Q15" si="7">Q12+Q14</f>
        <v>0</v>
      </c>
      <c r="R15" s="53">
        <f>SUM(N15:Q15)</f>
        <v>49431.907223580798</v>
      </c>
    </row>
    <row r="16" spans="1:18" ht="26.25" customHeight="1" x14ac:dyDescent="0.2">
      <c r="A16" s="75"/>
      <c r="B16" s="76"/>
      <c r="C16" s="78" t="s">
        <v>37</v>
      </c>
      <c r="D16" s="54">
        <f>D15+D10</f>
        <v>0</v>
      </c>
      <c r="E16" s="34">
        <f>E15+E10</f>
        <v>11741.375076823699</v>
      </c>
      <c r="F16" s="34">
        <f t="shared" ref="F16:G16" si="8">F15+F10</f>
        <v>44052.188044000002</v>
      </c>
      <c r="G16" s="34">
        <f t="shared" si="8"/>
        <v>0</v>
      </c>
      <c r="H16" s="53">
        <f>SUM(D16:G16)</f>
        <v>55793.563120823703</v>
      </c>
      <c r="I16" s="54">
        <f>I15+I10</f>
        <v>0</v>
      </c>
      <c r="J16" s="34">
        <f>J15+J10</f>
        <v>2241.2492199999997</v>
      </c>
      <c r="K16" s="34">
        <f t="shared" ref="K16:L16" si="9">K15+K10</f>
        <v>10292.567299999999</v>
      </c>
      <c r="L16" s="34">
        <f t="shared" si="9"/>
        <v>0</v>
      </c>
      <c r="M16" s="53">
        <f>SUM(I16:L16)</f>
        <v>12533.816519999998</v>
      </c>
      <c r="N16" s="81">
        <f>N15+N10</f>
        <v>0</v>
      </c>
      <c r="O16" s="34">
        <f>O15+O10</f>
        <v>10114.300137580798</v>
      </c>
      <c r="P16" s="34">
        <f t="shared" ref="P16:Q16" si="10">P15+P10</f>
        <v>39317.607085999996</v>
      </c>
      <c r="Q16" s="34">
        <f t="shared" si="10"/>
        <v>0</v>
      </c>
      <c r="R16" s="53">
        <f>SUM(N16:Q16)</f>
        <v>49431.907223580798</v>
      </c>
    </row>
    <row r="17" spans="1:18" ht="15.75" customHeight="1" x14ac:dyDescent="0.2">
      <c r="A17" s="159" t="s">
        <v>25</v>
      </c>
      <c r="B17" s="157"/>
      <c r="C17" s="158"/>
      <c r="D17" s="55"/>
      <c r="E17" s="35"/>
      <c r="F17" s="35"/>
      <c r="G17" s="35"/>
      <c r="H17" s="56"/>
      <c r="I17" s="82"/>
      <c r="J17" s="35"/>
      <c r="K17" s="35"/>
      <c r="L17" s="35"/>
      <c r="M17" s="56"/>
      <c r="N17" s="82"/>
      <c r="O17" s="35"/>
      <c r="P17" s="35"/>
      <c r="Q17" s="35"/>
      <c r="R17" s="56"/>
    </row>
    <row r="18" spans="1:18" ht="34.5" customHeight="1" x14ac:dyDescent="0.2">
      <c r="A18" s="72">
        <v>3</v>
      </c>
      <c r="B18" s="73" t="s">
        <v>31</v>
      </c>
      <c r="C18" s="74" t="s">
        <v>67</v>
      </c>
      <c r="D18" s="52">
        <f>D16*3.12%</f>
        <v>0</v>
      </c>
      <c r="E18" s="31">
        <f>E16*2.5%</f>
        <v>293.53437692059248</v>
      </c>
      <c r="F18" s="31"/>
      <c r="G18" s="31"/>
      <c r="H18" s="53">
        <f>SUM(D18:G18)</f>
        <v>293.53437692059248</v>
      </c>
      <c r="I18" s="80">
        <f>I16*3.12%</f>
        <v>0</v>
      </c>
      <c r="J18" s="31">
        <f>J16*2.5%</f>
        <v>56.031230499999992</v>
      </c>
      <c r="K18" s="31"/>
      <c r="L18" s="31"/>
      <c r="M18" s="53">
        <f>SUM(I18:L18)</f>
        <v>56.031230499999992</v>
      </c>
      <c r="N18" s="80">
        <f>N16*3.12%</f>
        <v>0</v>
      </c>
      <c r="O18" s="31">
        <f>O16*2.5%</f>
        <v>252.85750343951997</v>
      </c>
      <c r="P18" s="31"/>
      <c r="Q18" s="31"/>
      <c r="R18" s="53">
        <f>SUM(N18:Q18)</f>
        <v>252.85750343951997</v>
      </c>
    </row>
    <row r="19" spans="1:18" ht="14.25" customHeight="1" x14ac:dyDescent="0.2">
      <c r="A19" s="75"/>
      <c r="B19" s="76" t="s">
        <v>19</v>
      </c>
      <c r="C19" s="77" t="s">
        <v>26</v>
      </c>
      <c r="D19" s="54">
        <f>D18</f>
        <v>0</v>
      </c>
      <c r="E19" s="34">
        <f>E18</f>
        <v>293.53437692059248</v>
      </c>
      <c r="F19" s="34"/>
      <c r="G19" s="34"/>
      <c r="H19" s="53">
        <f>SUM(D19:G19)</f>
        <v>293.53437692059248</v>
      </c>
      <c r="I19" s="81">
        <f>I18</f>
        <v>0</v>
      </c>
      <c r="J19" s="34">
        <f>J18</f>
        <v>56.031230499999992</v>
      </c>
      <c r="K19" s="34"/>
      <c r="L19" s="34"/>
      <c r="M19" s="53">
        <f>SUM(I19:L19)</f>
        <v>56.031230499999992</v>
      </c>
      <c r="N19" s="54">
        <f>N18</f>
        <v>0</v>
      </c>
      <c r="O19" s="34">
        <f>O18</f>
        <v>252.85750343951997</v>
      </c>
      <c r="P19" s="34"/>
      <c r="Q19" s="34"/>
      <c r="R19" s="53">
        <f>SUM(N19:Q19)</f>
        <v>252.85750343951997</v>
      </c>
    </row>
    <row r="20" spans="1:18" ht="14.25" customHeight="1" x14ac:dyDescent="0.2">
      <c r="A20" s="75"/>
      <c r="B20" s="76"/>
      <c r="C20" s="78" t="s">
        <v>38</v>
      </c>
      <c r="D20" s="54">
        <f>D16+D19</f>
        <v>0</v>
      </c>
      <c r="E20" s="34">
        <f>E16+E19</f>
        <v>12034.909453744291</v>
      </c>
      <c r="F20" s="34">
        <f t="shared" ref="F20:G20" si="11">F16+F19</f>
        <v>44052.188044000002</v>
      </c>
      <c r="G20" s="34">
        <f t="shared" si="11"/>
        <v>0</v>
      </c>
      <c r="H20" s="53">
        <f>SUM(D20:G20)</f>
        <v>56087.097497744297</v>
      </c>
      <c r="I20" s="81">
        <f>I16+I19</f>
        <v>0</v>
      </c>
      <c r="J20" s="34">
        <f>J16+J19</f>
        <v>2297.2804504999995</v>
      </c>
      <c r="K20" s="34">
        <f t="shared" ref="K20:L20" si="12">K16+K19</f>
        <v>10292.567299999999</v>
      </c>
      <c r="L20" s="34">
        <f t="shared" si="12"/>
        <v>0</v>
      </c>
      <c r="M20" s="53">
        <f>SUM(I20:L20)</f>
        <v>12589.847750499997</v>
      </c>
      <c r="N20" s="54">
        <f>N16+N19</f>
        <v>0</v>
      </c>
      <c r="O20" s="34">
        <f>O16+O19</f>
        <v>10367.157641020318</v>
      </c>
      <c r="P20" s="34">
        <f t="shared" ref="P20:Q20" si="13">P16+P19</f>
        <v>39317.607085999996</v>
      </c>
      <c r="Q20" s="34">
        <f t="shared" si="13"/>
        <v>0</v>
      </c>
      <c r="R20" s="53">
        <f>SUM(N20:Q20)</f>
        <v>49684.764727020316</v>
      </c>
    </row>
    <row r="21" spans="1:18" ht="15.75" customHeight="1" x14ac:dyDescent="0.2">
      <c r="A21" s="159" t="s">
        <v>11</v>
      </c>
      <c r="B21" s="157"/>
      <c r="C21" s="158"/>
      <c r="D21" s="55"/>
      <c r="E21" s="35"/>
      <c r="F21" s="35"/>
      <c r="G21" s="35"/>
      <c r="H21" s="56"/>
      <c r="I21" s="55"/>
      <c r="J21" s="35"/>
      <c r="K21" s="35"/>
      <c r="L21" s="35"/>
      <c r="M21" s="56"/>
      <c r="N21" s="55"/>
      <c r="O21" s="35"/>
      <c r="P21" s="35"/>
      <c r="Q21" s="35"/>
      <c r="R21" s="56"/>
    </row>
    <row r="22" spans="1:18" ht="30" x14ac:dyDescent="0.2">
      <c r="A22" s="75">
        <v>4</v>
      </c>
      <c r="B22" s="73" t="s">
        <v>42</v>
      </c>
      <c r="C22" s="74" t="s">
        <v>43</v>
      </c>
      <c r="D22" s="54">
        <f>D20*4.73%</f>
        <v>0</v>
      </c>
      <c r="E22" s="34">
        <v>0</v>
      </c>
      <c r="F22" s="34"/>
      <c r="G22" s="34">
        <f>L22*14.66*1.003</f>
        <v>16752.042675394401</v>
      </c>
      <c r="H22" s="57">
        <f>SUM(D22:G22)</f>
        <v>16752.042675394401</v>
      </c>
      <c r="I22" s="54"/>
      <c r="J22" s="34"/>
      <c r="K22" s="34"/>
      <c r="L22" s="34">
        <f>0.10074*3433+0.10074*888+7.73614*91</f>
        <v>1139.28628</v>
      </c>
      <c r="M22" s="57">
        <f>SUM(I22:L22)</f>
        <v>1139.28628</v>
      </c>
      <c r="N22" s="54">
        <f>N20*4.73%</f>
        <v>0</v>
      </c>
      <c r="O22" s="34"/>
      <c r="P22" s="34"/>
      <c r="Q22" s="34">
        <f>L22*12.66*1.003</f>
        <v>14466.634397714399</v>
      </c>
      <c r="R22" s="57">
        <f>SUM(N22:Q22)</f>
        <v>14466.634397714399</v>
      </c>
    </row>
    <row r="23" spans="1:18" ht="14.25" customHeight="1" x14ac:dyDescent="0.2">
      <c r="A23" s="79"/>
      <c r="B23" s="76" t="s">
        <v>19</v>
      </c>
      <c r="C23" s="77" t="s">
        <v>12</v>
      </c>
      <c r="D23" s="54">
        <f>SUM(D22:D22)</f>
        <v>0</v>
      </c>
      <c r="E23" s="34">
        <f>SUM(E22:E22)</f>
        <v>0</v>
      </c>
      <c r="F23" s="34">
        <f>SUM(F22:F22)</f>
        <v>0</v>
      </c>
      <c r="G23" s="34">
        <f>SUM(G22:G22)</f>
        <v>16752.042675394401</v>
      </c>
      <c r="H23" s="57">
        <f>SUM(D23:G23)</f>
        <v>16752.042675394401</v>
      </c>
      <c r="I23" s="54">
        <f>SUM(I22:I22)</f>
        <v>0</v>
      </c>
      <c r="J23" s="34">
        <f>SUM(J22:J22)</f>
        <v>0</v>
      </c>
      <c r="K23" s="34">
        <f>SUM(K22:K22)</f>
        <v>0</v>
      </c>
      <c r="L23" s="34">
        <f>SUM(L22:L22)</f>
        <v>1139.28628</v>
      </c>
      <c r="M23" s="57">
        <f>SUM(I23:L23)</f>
        <v>1139.28628</v>
      </c>
      <c r="N23" s="54">
        <f>SUM(N22:N22)</f>
        <v>0</v>
      </c>
      <c r="O23" s="34">
        <f>SUM(O22:O22)</f>
        <v>0</v>
      </c>
      <c r="P23" s="34">
        <f>SUM(P22:P22)</f>
        <v>0</v>
      </c>
      <c r="Q23" s="34">
        <f>SUM(Q22:Q22)</f>
        <v>14466.634397714399</v>
      </c>
      <c r="R23" s="57">
        <f>SUM(N23:Q23)</f>
        <v>14466.634397714399</v>
      </c>
    </row>
    <row r="24" spans="1:18" ht="14.25" customHeight="1" x14ac:dyDescent="0.2">
      <c r="A24" s="79"/>
      <c r="B24" s="76" t="s">
        <v>19</v>
      </c>
      <c r="C24" s="78" t="s">
        <v>4</v>
      </c>
      <c r="D24" s="54">
        <f>D20+D23</f>
        <v>0</v>
      </c>
      <c r="E24" s="34">
        <f>E20+E23</f>
        <v>12034.909453744291</v>
      </c>
      <c r="F24" s="34">
        <f>F20+F23</f>
        <v>44052.188044000002</v>
      </c>
      <c r="G24" s="34">
        <f>G20+G23</f>
        <v>16752.042675394401</v>
      </c>
      <c r="H24" s="57">
        <f>H10+H15+H19+H23</f>
        <v>72839.140173138701</v>
      </c>
      <c r="I24" s="54">
        <f>I20+I23</f>
        <v>0</v>
      </c>
      <c r="J24" s="34">
        <f>J20+J23</f>
        <v>2297.2804504999995</v>
      </c>
      <c r="K24" s="34">
        <f>K20+K23</f>
        <v>10292.567299999999</v>
      </c>
      <c r="L24" s="34">
        <f>L20+L23</f>
        <v>1139.28628</v>
      </c>
      <c r="M24" s="57">
        <f>M10+M15+M19+M23</f>
        <v>13729.134030499999</v>
      </c>
      <c r="N24" s="54">
        <f>N20+N23</f>
        <v>0</v>
      </c>
      <c r="O24" s="34">
        <f>O20+O23</f>
        <v>10367.157641020318</v>
      </c>
      <c r="P24" s="34">
        <f>P20+P23</f>
        <v>39317.607085999996</v>
      </c>
      <c r="Q24" s="34">
        <f>Q20+Q23</f>
        <v>14466.634397714399</v>
      </c>
      <c r="R24" s="57">
        <f>R10+R15+R19+R23</f>
        <v>64151.399124734715</v>
      </c>
    </row>
    <row r="25" spans="1:18" ht="19.5" customHeight="1" x14ac:dyDescent="0.2">
      <c r="A25" s="159" t="s">
        <v>13</v>
      </c>
      <c r="B25" s="157"/>
      <c r="C25" s="158"/>
      <c r="D25" s="55"/>
      <c r="E25" s="35"/>
      <c r="F25" s="35"/>
      <c r="G25" s="35"/>
      <c r="H25" s="56"/>
      <c r="I25" s="55"/>
      <c r="J25" s="35"/>
      <c r="K25" s="71"/>
      <c r="L25" s="71"/>
      <c r="M25" s="56"/>
      <c r="N25" s="55"/>
      <c r="O25" s="35"/>
      <c r="P25" s="35"/>
      <c r="Q25" s="35"/>
      <c r="R25" s="56"/>
    </row>
    <row r="26" spans="1:18" ht="46.5" customHeight="1" x14ac:dyDescent="0.2">
      <c r="A26" s="75">
        <v>6</v>
      </c>
      <c r="B26" s="73" t="s">
        <v>32</v>
      </c>
      <c r="C26" s="74" t="s">
        <v>35</v>
      </c>
      <c r="D26" s="54"/>
      <c r="E26" s="34"/>
      <c r="F26" s="34"/>
      <c r="G26" s="34">
        <f>L26*8.42</f>
        <v>158.97362549800795</v>
      </c>
      <c r="H26" s="57">
        <f>G26</f>
        <v>158.97362549800795</v>
      </c>
      <c r="I26" s="54"/>
      <c r="J26" s="34"/>
      <c r="K26" s="34"/>
      <c r="L26" s="34">
        <f>Q26/7.53</f>
        <v>18.880478087649401</v>
      </c>
      <c r="M26" s="57">
        <f>L26</f>
        <v>18.880478087649401</v>
      </c>
      <c r="N26" s="54"/>
      <c r="O26" s="34"/>
      <c r="P26" s="34"/>
      <c r="Q26" s="34">
        <v>142.16999999999999</v>
      </c>
      <c r="R26" s="57">
        <f>Q26</f>
        <v>142.16999999999999</v>
      </c>
    </row>
    <row r="27" spans="1:18" ht="14.25" customHeight="1" x14ac:dyDescent="0.2">
      <c r="A27" s="75"/>
      <c r="B27" s="76" t="s">
        <v>19</v>
      </c>
      <c r="C27" s="77" t="s">
        <v>14</v>
      </c>
      <c r="D27" s="54"/>
      <c r="E27" s="34"/>
      <c r="F27" s="34"/>
      <c r="G27" s="34">
        <f>G26</f>
        <v>158.97362549800795</v>
      </c>
      <c r="H27" s="57">
        <f>SUM(D27:G27)</f>
        <v>158.97362549800795</v>
      </c>
      <c r="I27" s="54"/>
      <c r="J27" s="34"/>
      <c r="K27" s="34"/>
      <c r="L27" s="34">
        <f>L26</f>
        <v>18.880478087649401</v>
      </c>
      <c r="M27" s="57">
        <f>SUM(I27:L27)</f>
        <v>18.880478087649401</v>
      </c>
      <c r="N27" s="54"/>
      <c r="O27" s="34"/>
      <c r="P27" s="34"/>
      <c r="Q27" s="34">
        <f>Q26</f>
        <v>142.16999999999999</v>
      </c>
      <c r="R27" s="57">
        <f>SUM(N27:Q27)</f>
        <v>142.16999999999999</v>
      </c>
    </row>
    <row r="28" spans="1:18" ht="14.25" customHeight="1" x14ac:dyDescent="0.2">
      <c r="A28" s="75"/>
      <c r="B28" s="76" t="s">
        <v>19</v>
      </c>
      <c r="C28" s="78" t="s">
        <v>21</v>
      </c>
      <c r="D28" s="54">
        <f t="shared" ref="D28:G28" si="14">D24+D27</f>
        <v>0</v>
      </c>
      <c r="E28" s="34">
        <f t="shared" si="14"/>
        <v>12034.909453744291</v>
      </c>
      <c r="F28" s="34">
        <f t="shared" si="14"/>
        <v>44052.188044000002</v>
      </c>
      <c r="G28" s="34">
        <f t="shared" si="14"/>
        <v>16911.01630089241</v>
      </c>
      <c r="H28" s="57">
        <f>SUM(D28:G28)</f>
        <v>72998.11379863671</v>
      </c>
      <c r="I28" s="54">
        <f t="shared" ref="I28:L28" si="15">I24+I27</f>
        <v>0</v>
      </c>
      <c r="J28" s="34">
        <f t="shared" si="15"/>
        <v>2297.2804504999995</v>
      </c>
      <c r="K28" s="34">
        <f t="shared" si="15"/>
        <v>10292.567299999999</v>
      </c>
      <c r="L28" s="34">
        <f t="shared" si="15"/>
        <v>1158.1667580876494</v>
      </c>
      <c r="M28" s="57">
        <f>SUM(I28:L28)</f>
        <v>13748.014508587647</v>
      </c>
      <c r="N28" s="54">
        <f t="shared" ref="N28:Q28" si="16">N24+N27</f>
        <v>0</v>
      </c>
      <c r="O28" s="34">
        <f t="shared" si="16"/>
        <v>10367.157641020318</v>
      </c>
      <c r="P28" s="34">
        <f t="shared" si="16"/>
        <v>39317.607085999996</v>
      </c>
      <c r="Q28" s="34">
        <f t="shared" si="16"/>
        <v>14608.804397714399</v>
      </c>
      <c r="R28" s="57">
        <f>SUM(N28:Q28)</f>
        <v>64293.569124734713</v>
      </c>
    </row>
    <row r="29" spans="1:18" ht="28.5" customHeight="1" x14ac:dyDescent="0.2">
      <c r="A29" s="159" t="s">
        <v>22</v>
      </c>
      <c r="B29" s="157"/>
      <c r="C29" s="158"/>
      <c r="D29" s="55"/>
      <c r="E29" s="35"/>
      <c r="F29" s="35"/>
      <c r="G29" s="35"/>
      <c r="H29" s="56"/>
      <c r="I29" s="55"/>
      <c r="J29" s="35"/>
      <c r="K29" s="35"/>
      <c r="L29" s="35"/>
      <c r="M29" s="56"/>
      <c r="N29" s="55"/>
      <c r="O29" s="35"/>
      <c r="P29" s="35"/>
      <c r="Q29" s="35"/>
      <c r="R29" s="56"/>
    </row>
    <row r="30" spans="1:18" ht="20.25" customHeight="1" x14ac:dyDescent="0.2">
      <c r="A30" s="75">
        <v>7</v>
      </c>
      <c r="B30" s="73" t="s">
        <v>68</v>
      </c>
      <c r="C30" s="74" t="s">
        <v>69</v>
      </c>
      <c r="D30" s="54"/>
      <c r="E30" s="34"/>
      <c r="F30" s="34"/>
      <c r="G30" s="37">
        <f>L30*3.64</f>
        <v>890.90288951841364</v>
      </c>
      <c r="H30" s="57">
        <f>SUM(D30:G30)</f>
        <v>890.90288951841364</v>
      </c>
      <c r="I30" s="54"/>
      <c r="J30" s="34"/>
      <c r="K30" s="34"/>
      <c r="L30" s="37">
        <f>Q30/3.53</f>
        <v>244.75354107648727</v>
      </c>
      <c r="M30" s="57">
        <f>L30</f>
        <v>244.75354107648727</v>
      </c>
      <c r="N30" s="54"/>
      <c r="O30" s="34"/>
      <c r="P30" s="34"/>
      <c r="Q30" s="37">
        <v>863.98</v>
      </c>
      <c r="R30" s="57">
        <f>Q30</f>
        <v>863.98</v>
      </c>
    </row>
    <row r="31" spans="1:18" ht="14.25" customHeight="1" x14ac:dyDescent="0.2">
      <c r="A31" s="32"/>
      <c r="B31" s="33" t="s">
        <v>19</v>
      </c>
      <c r="C31" s="48" t="s">
        <v>15</v>
      </c>
      <c r="D31" s="54"/>
      <c r="E31" s="34"/>
      <c r="F31" s="34"/>
      <c r="G31" s="34">
        <f>G30</f>
        <v>890.90288951841364</v>
      </c>
      <c r="H31" s="57">
        <f>SUM(D31:G31)</f>
        <v>890.90288951841364</v>
      </c>
      <c r="I31" s="54"/>
      <c r="J31" s="34"/>
      <c r="K31" s="34"/>
      <c r="L31" s="34">
        <f>L30</f>
        <v>244.75354107648727</v>
      </c>
      <c r="M31" s="57">
        <f>SUM(I31:L31)</f>
        <v>244.75354107648727</v>
      </c>
      <c r="N31" s="54"/>
      <c r="O31" s="34"/>
      <c r="P31" s="34"/>
      <c r="Q31" s="34">
        <f>Q30</f>
        <v>863.98</v>
      </c>
      <c r="R31" s="57">
        <f>SUM(N31:Q31)</f>
        <v>863.98</v>
      </c>
    </row>
    <row r="32" spans="1:18" ht="14.25" customHeight="1" x14ac:dyDescent="0.2">
      <c r="A32" s="32"/>
      <c r="B32" s="33" t="s">
        <v>19</v>
      </c>
      <c r="C32" s="49" t="s">
        <v>23</v>
      </c>
      <c r="D32" s="54">
        <f t="shared" ref="D32:G32" si="17">D28+D31</f>
        <v>0</v>
      </c>
      <c r="E32" s="34">
        <f t="shared" si="17"/>
        <v>12034.909453744291</v>
      </c>
      <c r="F32" s="34">
        <f t="shared" si="17"/>
        <v>44052.188044000002</v>
      </c>
      <c r="G32" s="34">
        <f t="shared" si="17"/>
        <v>17801.919190410823</v>
      </c>
      <c r="H32" s="57">
        <f>SUM(D32:G32)</f>
        <v>73889.016688155127</v>
      </c>
      <c r="I32" s="54">
        <f t="shared" ref="I32:K32" si="18">I28+I31</f>
        <v>0</v>
      </c>
      <c r="J32" s="34">
        <f t="shared" si="18"/>
        <v>2297.2804504999995</v>
      </c>
      <c r="K32" s="34">
        <f t="shared" si="18"/>
        <v>10292.567299999999</v>
      </c>
      <c r="L32" s="34">
        <f>L28+L31</f>
        <v>1402.9202991641366</v>
      </c>
      <c r="M32" s="57">
        <f>SUM(I32:L32)</f>
        <v>13992.768049664133</v>
      </c>
      <c r="N32" s="54">
        <f t="shared" ref="N32:Q32" si="19">N28+N31</f>
        <v>0</v>
      </c>
      <c r="O32" s="34">
        <f t="shared" si="19"/>
        <v>10367.157641020318</v>
      </c>
      <c r="P32" s="34">
        <f t="shared" si="19"/>
        <v>39317.607085999996</v>
      </c>
      <c r="Q32" s="34">
        <f t="shared" si="19"/>
        <v>15472.784397714398</v>
      </c>
      <c r="R32" s="57">
        <f>SUM(N32:Q32)</f>
        <v>65157.549124734716</v>
      </c>
    </row>
    <row r="33" spans="1:20" ht="14.25" customHeight="1" x14ac:dyDescent="0.2">
      <c r="A33" s="161"/>
      <c r="B33" s="162"/>
      <c r="C33" s="163"/>
      <c r="D33" s="55"/>
      <c r="E33" s="35"/>
      <c r="F33" s="35"/>
      <c r="G33" s="35"/>
      <c r="H33" s="56"/>
      <c r="I33" s="55"/>
      <c r="J33" s="35"/>
      <c r="K33" s="35"/>
      <c r="L33" s="35"/>
      <c r="M33" s="56"/>
      <c r="N33" s="55"/>
      <c r="O33" s="35"/>
      <c r="P33" s="35"/>
      <c r="Q33" s="35"/>
      <c r="R33" s="56"/>
    </row>
    <row r="34" spans="1:20" ht="34.5" customHeight="1" x14ac:dyDescent="0.2">
      <c r="A34" s="32">
        <v>8</v>
      </c>
      <c r="B34" s="17" t="s">
        <v>33</v>
      </c>
      <c r="C34" s="47" t="s">
        <v>24</v>
      </c>
      <c r="D34" s="54">
        <f>D32*3%</f>
        <v>0</v>
      </c>
      <c r="E34" s="34">
        <f>E32*3%</f>
        <v>361.04728361232873</v>
      </c>
      <c r="F34" s="34">
        <f>F32*3%</f>
        <v>1321.5656413199999</v>
      </c>
      <c r="G34" s="34">
        <f>G32*3%</f>
        <v>534.05757571232471</v>
      </c>
      <c r="H34" s="57">
        <f>SUM(D34:G34)</f>
        <v>2216.6705006446537</v>
      </c>
      <c r="I34" s="54">
        <f>I32*3%</f>
        <v>0</v>
      </c>
      <c r="J34" s="34">
        <f>J32*3%</f>
        <v>68.918413514999983</v>
      </c>
      <c r="K34" s="34">
        <f>K32*3%</f>
        <v>308.77701899999994</v>
      </c>
      <c r="L34" s="34">
        <f>L32*3%</f>
        <v>42.087608974924095</v>
      </c>
      <c r="M34" s="57">
        <f>SUM(I34:L34)</f>
        <v>419.78304148992402</v>
      </c>
      <c r="N34" s="54">
        <f>N32*3%</f>
        <v>0</v>
      </c>
      <c r="O34" s="34">
        <f>O32*3%</f>
        <v>311.01472923060953</v>
      </c>
      <c r="P34" s="34">
        <f>P32*3%</f>
        <v>1179.5282125799999</v>
      </c>
      <c r="Q34" s="34">
        <f>Q32*3%</f>
        <v>464.18353193143196</v>
      </c>
      <c r="R34" s="57">
        <f>SUM(N34:Q34)</f>
        <v>1954.7264737420414</v>
      </c>
    </row>
    <row r="35" spans="1:20" ht="29.25" customHeight="1" x14ac:dyDescent="0.2">
      <c r="A35" s="32"/>
      <c r="B35" s="33" t="s">
        <v>19</v>
      </c>
      <c r="C35" s="47" t="s">
        <v>5</v>
      </c>
      <c r="D35" s="58">
        <f t="shared" ref="D35:G35" si="20">D32+D34</f>
        <v>0</v>
      </c>
      <c r="E35" s="38">
        <f t="shared" si="20"/>
        <v>12395.956737356619</v>
      </c>
      <c r="F35" s="38">
        <f t="shared" si="20"/>
        <v>45373.75368532</v>
      </c>
      <c r="G35" s="38">
        <f t="shared" si="20"/>
        <v>18335.976766123149</v>
      </c>
      <c r="H35" s="59">
        <f>SUM(D35:G35)</f>
        <v>76105.68718879977</v>
      </c>
      <c r="I35" s="58">
        <f t="shared" ref="I35:L35" si="21">I32+I34</f>
        <v>0</v>
      </c>
      <c r="J35" s="38">
        <f t="shared" si="21"/>
        <v>2366.1988640149993</v>
      </c>
      <c r="K35" s="38">
        <f t="shared" si="21"/>
        <v>10601.344318999998</v>
      </c>
      <c r="L35" s="38">
        <f t="shared" si="21"/>
        <v>1445.0079081390606</v>
      </c>
      <c r="M35" s="59">
        <f>SUM(I35:L35)</f>
        <v>14412.551091154059</v>
      </c>
      <c r="N35" s="58">
        <f>N32+N34</f>
        <v>0</v>
      </c>
      <c r="O35" s="38">
        <f t="shared" ref="O35:Q35" si="22">O32+O34</f>
        <v>10678.172370250928</v>
      </c>
      <c r="P35" s="38">
        <f t="shared" si="22"/>
        <v>40497.135298579997</v>
      </c>
      <c r="Q35" s="38">
        <f t="shared" si="22"/>
        <v>15936.967929645831</v>
      </c>
      <c r="R35" s="59">
        <f>SUM(N35:Q35)</f>
        <v>67112.275598476757</v>
      </c>
    </row>
    <row r="36" spans="1:20" ht="38.25" customHeight="1" x14ac:dyDescent="0.2">
      <c r="A36" s="32"/>
      <c r="B36" s="33"/>
      <c r="C36" s="47" t="s">
        <v>70</v>
      </c>
      <c r="D36" s="58"/>
      <c r="E36" s="38"/>
      <c r="F36" s="38"/>
      <c r="G36" s="38"/>
      <c r="H36" s="60"/>
      <c r="I36" s="58"/>
      <c r="J36" s="38"/>
      <c r="K36" s="38"/>
      <c r="L36" s="38"/>
      <c r="M36" s="59"/>
      <c r="N36" s="68">
        <f>N35*1.06*1.049*1.143*1.06*1.05*1.045</f>
        <v>0</v>
      </c>
      <c r="O36" s="37">
        <f>O35*1.06*1.049*1.143*1.081*1.054*1.044</f>
        <v>16143.262712017991</v>
      </c>
      <c r="P36" s="37">
        <f>P35*1.06*1.049*1.143*1.081*1.054*1.044</f>
        <v>61223.575677656103</v>
      </c>
      <c r="Q36" s="37">
        <f>Q35*1.06*1.049*1.143*1.081*1.054*1.044</f>
        <v>24093.510687094516</v>
      </c>
      <c r="R36" s="59">
        <f>N36+O36+P36+Q36</f>
        <v>101460.34907676862</v>
      </c>
      <c r="T36" s="1">
        <v>0.7</v>
      </c>
    </row>
    <row r="37" spans="1:20" ht="30" customHeight="1" x14ac:dyDescent="0.2">
      <c r="A37" s="32"/>
      <c r="B37" s="33"/>
      <c r="C37" s="47" t="s">
        <v>30</v>
      </c>
      <c r="D37" s="58"/>
      <c r="E37" s="38"/>
      <c r="F37" s="38"/>
      <c r="G37" s="38"/>
      <c r="H37" s="60"/>
      <c r="I37" s="58"/>
      <c r="J37" s="38"/>
      <c r="K37" s="38"/>
      <c r="L37" s="38"/>
      <c r="M37" s="59"/>
      <c r="N37" s="68">
        <f>N36*$T$36</f>
        <v>0</v>
      </c>
      <c r="O37" s="37">
        <f t="shared" ref="O37:P37" si="23">O36*$T$36</f>
        <v>11300.283898412594</v>
      </c>
      <c r="P37" s="37">
        <f t="shared" si="23"/>
        <v>42856.502974359268</v>
      </c>
      <c r="Q37" s="37">
        <f>(Q36-Q30)*$T$36+Q30</f>
        <v>17124.65148096616</v>
      </c>
      <c r="R37" s="59">
        <f>N37+O37+P37+Q37</f>
        <v>71281.43835373802</v>
      </c>
    </row>
    <row r="38" spans="1:20" ht="24.75" customHeight="1" x14ac:dyDescent="0.2">
      <c r="A38" s="32"/>
      <c r="B38" s="39" t="s">
        <v>19</v>
      </c>
      <c r="C38" s="47" t="s">
        <v>16</v>
      </c>
      <c r="D38" s="61">
        <f>D35</f>
        <v>0</v>
      </c>
      <c r="E38" s="40">
        <f>E35</f>
        <v>12395.956737356619</v>
      </c>
      <c r="F38" s="40">
        <f>F35</f>
        <v>45373.75368532</v>
      </c>
      <c r="G38" s="40">
        <f>G35</f>
        <v>18335.976766123149</v>
      </c>
      <c r="H38" s="62">
        <f>D38+E38+F38+G38</f>
        <v>76105.68718879977</v>
      </c>
      <c r="I38" s="61">
        <f>I35</f>
        <v>0</v>
      </c>
      <c r="J38" s="40">
        <f>J35</f>
        <v>2366.1988640149993</v>
      </c>
      <c r="K38" s="40">
        <f>K35</f>
        <v>10601.344318999998</v>
      </c>
      <c r="L38" s="40">
        <f>L35</f>
        <v>1445.0079081390606</v>
      </c>
      <c r="M38" s="62">
        <f>I38+J38+K38+L38</f>
        <v>14412.551091154059</v>
      </c>
      <c r="N38" s="61">
        <f>N37</f>
        <v>0</v>
      </c>
      <c r="O38" s="40">
        <f>O37</f>
        <v>11300.283898412594</v>
      </c>
      <c r="P38" s="40">
        <f>P37</f>
        <v>42856.502974359268</v>
      </c>
      <c r="Q38" s="40">
        <f>Q37</f>
        <v>17124.65148096616</v>
      </c>
      <c r="R38" s="62">
        <f>N38+O38+P38+Q38</f>
        <v>71281.43835373802</v>
      </c>
    </row>
    <row r="39" spans="1:20" ht="22.5" customHeight="1" x14ac:dyDescent="0.2">
      <c r="A39" s="36"/>
      <c r="B39" s="39" t="s">
        <v>19</v>
      </c>
      <c r="C39" s="47" t="s">
        <v>17</v>
      </c>
      <c r="D39" s="54">
        <f>D38*0.18</f>
        <v>0</v>
      </c>
      <c r="E39" s="34">
        <f>E38*0.18</f>
        <v>2231.2722127241914</v>
      </c>
      <c r="F39" s="34">
        <f t="shared" ref="F39:G39" si="24">F38*0.18</f>
        <v>8167.2756633576</v>
      </c>
      <c r="G39" s="34">
        <f t="shared" si="24"/>
        <v>3300.4758179021669</v>
      </c>
      <c r="H39" s="57">
        <f>D39+E39+F39+G39</f>
        <v>13699.023693983958</v>
      </c>
      <c r="I39" s="54">
        <f>I38*0.18</f>
        <v>0</v>
      </c>
      <c r="J39" s="34">
        <f>J38*0.18</f>
        <v>425.91579552269985</v>
      </c>
      <c r="K39" s="34">
        <f t="shared" ref="K39:L39" si="25">K38*0.18</f>
        <v>1908.2419774199996</v>
      </c>
      <c r="L39" s="34">
        <f t="shared" si="25"/>
        <v>260.1014234650309</v>
      </c>
      <c r="M39" s="57">
        <f>I39+J39+K39+L39</f>
        <v>2594.2591964077305</v>
      </c>
      <c r="N39" s="54">
        <f>N38*0.18</f>
        <v>0</v>
      </c>
      <c r="O39" s="34">
        <f>O38*0.18</f>
        <v>2034.0511017142669</v>
      </c>
      <c r="P39" s="34">
        <f t="shared" ref="P39:Q39" si="26">P38*0.18</f>
        <v>7714.1705353846683</v>
      </c>
      <c r="Q39" s="34">
        <f t="shared" si="26"/>
        <v>3082.4372665739088</v>
      </c>
      <c r="R39" s="57">
        <f>N39+O39+P39+Q39</f>
        <v>12830.658903672844</v>
      </c>
    </row>
    <row r="40" spans="1:20" ht="36.75" customHeight="1" thickBot="1" x14ac:dyDescent="0.25">
      <c r="A40" s="32"/>
      <c r="B40" s="39" t="s">
        <v>19</v>
      </c>
      <c r="C40" s="47" t="s">
        <v>18</v>
      </c>
      <c r="D40" s="63">
        <f>D38+D39</f>
        <v>0</v>
      </c>
      <c r="E40" s="64">
        <f>E38+E39</f>
        <v>14627.228950080811</v>
      </c>
      <c r="F40" s="64">
        <f t="shared" ref="F40:G40" si="27">F38+F39</f>
        <v>53541.029348677599</v>
      </c>
      <c r="G40" s="64">
        <f t="shared" si="27"/>
        <v>21636.452584025315</v>
      </c>
      <c r="H40" s="65">
        <f>D40+E40+F40+G40</f>
        <v>89804.710882783736</v>
      </c>
      <c r="I40" s="63">
        <f>I38+I39</f>
        <v>0</v>
      </c>
      <c r="J40" s="64">
        <f>J38+J39</f>
        <v>2792.114659537699</v>
      </c>
      <c r="K40" s="64">
        <f t="shared" ref="K40:L40" si="28">K38+K39</f>
        <v>12509.586296419997</v>
      </c>
      <c r="L40" s="64">
        <f t="shared" si="28"/>
        <v>1705.1093316040915</v>
      </c>
      <c r="M40" s="65">
        <f>I40+J40+K40+L40</f>
        <v>17006.810287561788</v>
      </c>
      <c r="N40" s="63">
        <f>N38+N39</f>
        <v>0</v>
      </c>
      <c r="O40" s="64">
        <f>O38+O39</f>
        <v>13334.335000126861</v>
      </c>
      <c r="P40" s="64">
        <f t="shared" ref="P40:Q40" si="29">P38+P39</f>
        <v>50570.673509743938</v>
      </c>
      <c r="Q40" s="64">
        <f t="shared" si="29"/>
        <v>20207.08874754007</v>
      </c>
      <c r="R40" s="65">
        <f>N40+O40+P40+Q40</f>
        <v>84112.097257410875</v>
      </c>
      <c r="T40" s="91"/>
    </row>
    <row r="41" spans="1:20" ht="9.75" customHeight="1" x14ac:dyDescent="0.2">
      <c r="A41" s="16" t="s">
        <v>19</v>
      </c>
      <c r="B41" s="164" t="s">
        <v>19</v>
      </c>
      <c r="C41" s="165"/>
      <c r="D41" s="166" t="s">
        <v>19</v>
      </c>
      <c r="E41" s="167"/>
      <c r="F41" s="168" t="s">
        <v>19</v>
      </c>
      <c r="G41" s="169"/>
      <c r="H41" s="169"/>
      <c r="I41" s="4"/>
      <c r="J41" s="4"/>
      <c r="K41" s="4"/>
      <c r="L41" s="4"/>
      <c r="M41" s="29"/>
    </row>
    <row r="42" spans="1:20" ht="20.25" customHeight="1" x14ac:dyDescent="0.25">
      <c r="A42" s="16"/>
      <c r="B42" s="96" t="s">
        <v>39</v>
      </c>
      <c r="C42" s="170" t="s">
        <v>71</v>
      </c>
      <c r="D42" s="170"/>
      <c r="E42" s="69"/>
      <c r="G42" s="97" t="s">
        <v>72</v>
      </c>
      <c r="H42" s="69"/>
      <c r="I42" s="69"/>
      <c r="J42" s="7"/>
      <c r="K42" s="7"/>
      <c r="L42" s="7"/>
      <c r="M42" s="7"/>
      <c r="N42" s="155"/>
      <c r="O42" s="155"/>
      <c r="P42" s="155"/>
      <c r="Q42" s="84"/>
      <c r="R42" s="83"/>
      <c r="T42" s="70"/>
    </row>
    <row r="43" spans="1:20" ht="20.25" customHeight="1" x14ac:dyDescent="0.2">
      <c r="A43" s="16"/>
      <c r="B43" s="98"/>
      <c r="C43" s="99"/>
      <c r="D43" s="99"/>
      <c r="E43" s="99"/>
      <c r="F43" s="99"/>
      <c r="G43" s="99"/>
      <c r="H43" s="99"/>
      <c r="I43" s="100"/>
      <c r="J43" s="7"/>
      <c r="K43" s="7"/>
      <c r="L43" s="160" t="s">
        <v>27</v>
      </c>
      <c r="M43" s="160"/>
      <c r="N43" s="155"/>
      <c r="O43" s="155"/>
      <c r="P43" s="155"/>
    </row>
    <row r="44" spans="1:20" ht="27.6" customHeight="1" x14ac:dyDescent="0.25">
      <c r="A44" s="16"/>
      <c r="B44" s="96" t="s">
        <v>40</v>
      </c>
      <c r="C44" s="170" t="s">
        <v>73</v>
      </c>
      <c r="D44" s="170"/>
      <c r="E44" s="69"/>
      <c r="G44" s="97" t="s">
        <v>74</v>
      </c>
      <c r="H44" s="69"/>
      <c r="I44" s="69"/>
      <c r="J44" s="6" t="s">
        <v>28</v>
      </c>
      <c r="K44" s="6"/>
      <c r="L44" s="160"/>
      <c r="M44" s="160"/>
      <c r="N44" s="155"/>
      <c r="O44" s="155"/>
      <c r="P44" s="155"/>
      <c r="T44" s="70"/>
    </row>
    <row r="45" spans="1:20" ht="26.45" customHeight="1" x14ac:dyDescent="0.2">
      <c r="B45" s="101"/>
      <c r="C45" s="160"/>
      <c r="D45" s="160"/>
      <c r="E45" s="160"/>
      <c r="F45" s="160"/>
      <c r="G45" s="160"/>
      <c r="H45" s="94"/>
      <c r="I45" s="94"/>
      <c r="J45" s="92" t="s">
        <v>29</v>
      </c>
      <c r="K45" s="92"/>
      <c r="L45" s="92"/>
      <c r="M45" s="92"/>
      <c r="N45" s="102"/>
      <c r="O45" s="102"/>
      <c r="P45" s="102"/>
    </row>
    <row r="46" spans="1:20" ht="28.15" customHeight="1" x14ac:dyDescent="0.25">
      <c r="G46" s="94"/>
      <c r="H46" s="94"/>
      <c r="I46" s="94"/>
      <c r="J46" s="103"/>
      <c r="K46" s="104"/>
      <c r="L46" s="172" t="s">
        <v>75</v>
      </c>
      <c r="M46" s="172"/>
      <c r="N46" s="97" t="s">
        <v>76</v>
      </c>
      <c r="O46" s="97"/>
      <c r="P46" s="97"/>
    </row>
    <row r="47" spans="1:20" ht="25.9" customHeight="1" x14ac:dyDescent="0.25">
      <c r="B47" s="92" t="s">
        <v>27</v>
      </c>
      <c r="C47" s="92"/>
      <c r="D47" s="92"/>
      <c r="E47" s="92"/>
      <c r="F47" s="92"/>
      <c r="G47" s="105"/>
      <c r="H47" s="105"/>
      <c r="I47" s="105"/>
      <c r="J47" s="172" t="s">
        <v>77</v>
      </c>
      <c r="K47" s="172"/>
      <c r="L47" s="172"/>
      <c r="M47" s="172"/>
      <c r="N47" s="155"/>
      <c r="O47" s="155"/>
      <c r="P47" s="155"/>
      <c r="R47" s="2"/>
    </row>
    <row r="48" spans="1:20" ht="36" customHeight="1" x14ac:dyDescent="0.25">
      <c r="B48" s="173" t="s">
        <v>44</v>
      </c>
      <c r="C48" s="173"/>
      <c r="D48" s="173"/>
      <c r="E48" s="173"/>
      <c r="F48" s="97" t="s">
        <v>78</v>
      </c>
      <c r="G48" s="106"/>
      <c r="H48" s="10"/>
      <c r="I48" s="107"/>
      <c r="J48" s="103"/>
      <c r="K48" s="108"/>
      <c r="L48" s="108"/>
      <c r="M48" s="108"/>
      <c r="N48" s="155"/>
      <c r="O48" s="155"/>
      <c r="P48" s="155"/>
      <c r="R48" s="8"/>
    </row>
    <row r="49" spans="2:10" ht="15.75" x14ac:dyDescent="0.25">
      <c r="B49" s="10"/>
      <c r="C49" s="10"/>
      <c r="D49" s="10"/>
      <c r="E49" s="10"/>
      <c r="F49" s="10"/>
      <c r="I49" s="103"/>
      <c r="J49" s="103"/>
    </row>
    <row r="50" spans="2:10" ht="15.75" x14ac:dyDescent="0.25">
      <c r="B50" s="10"/>
      <c r="C50" s="10"/>
      <c r="D50" s="10"/>
      <c r="E50" s="10"/>
      <c r="F50" s="10"/>
      <c r="J50" s="103"/>
    </row>
    <row r="51" spans="2:10" ht="15" x14ac:dyDescent="0.25">
      <c r="B51" s="92" t="s">
        <v>27</v>
      </c>
      <c r="C51" s="92"/>
      <c r="D51" s="92"/>
      <c r="E51" s="92"/>
      <c r="F51" s="92"/>
      <c r="G51" s="103"/>
      <c r="H51" s="103"/>
      <c r="I51" s="103"/>
      <c r="J51" s="103"/>
    </row>
    <row r="52" spans="2:10" ht="32.25" customHeight="1" x14ac:dyDescent="0.25">
      <c r="B52" s="174" t="s">
        <v>45</v>
      </c>
      <c r="C52" s="174"/>
      <c r="D52" s="174"/>
      <c r="E52" s="174"/>
      <c r="F52" s="97" t="s">
        <v>79</v>
      </c>
      <c r="G52" s="106"/>
      <c r="H52" s="109">
        <v>42929</v>
      </c>
      <c r="I52" s="110"/>
      <c r="J52" s="103"/>
    </row>
    <row r="53" spans="2:10" ht="15" x14ac:dyDescent="0.25">
      <c r="B53" s="171"/>
      <c r="C53" s="171"/>
      <c r="D53" s="171"/>
      <c r="E53" s="171"/>
      <c r="F53" s="171"/>
      <c r="G53" s="103"/>
      <c r="I53" s="103"/>
      <c r="J53" s="103"/>
    </row>
  </sheetData>
  <mergeCells count="35">
    <mergeCell ref="B53:F53"/>
    <mergeCell ref="L46:M46"/>
    <mergeCell ref="J47:M47"/>
    <mergeCell ref="N47:P47"/>
    <mergeCell ref="B48:E48"/>
    <mergeCell ref="N48:P48"/>
    <mergeCell ref="B52:E52"/>
    <mergeCell ref="L43:M43"/>
    <mergeCell ref="N43:P43"/>
    <mergeCell ref="C44:D44"/>
    <mergeCell ref="L44:M44"/>
    <mergeCell ref="N44:P44"/>
    <mergeCell ref="C45:G45"/>
    <mergeCell ref="A33:C33"/>
    <mergeCell ref="B41:C41"/>
    <mergeCell ref="D41:E41"/>
    <mergeCell ref="F41:H41"/>
    <mergeCell ref="C42:D42"/>
    <mergeCell ref="N42:P42"/>
    <mergeCell ref="A8:C8"/>
    <mergeCell ref="A11:C11"/>
    <mergeCell ref="A17:C17"/>
    <mergeCell ref="A21:C21"/>
    <mergeCell ref="A25:C25"/>
    <mergeCell ref="A29:C29"/>
    <mergeCell ref="B2:M2"/>
    <mergeCell ref="P2:R2"/>
    <mergeCell ref="A3:H3"/>
    <mergeCell ref="P3:R3"/>
    <mergeCell ref="A5:A6"/>
    <mergeCell ref="B5:B6"/>
    <mergeCell ref="C5:C6"/>
    <mergeCell ref="D5:H5"/>
    <mergeCell ref="I5:M5"/>
    <mergeCell ref="N5:R5"/>
  </mergeCells>
  <conditionalFormatting sqref="G44 G42 F52 H48 B48 B52 F48 N46:P46">
    <cfRule type="cellIs" dxfId="9" priority="1" operator="equal">
      <formula>0</formula>
    </cfRule>
  </conditionalFormatting>
  <pageMargins left="0.55118110236220474" right="0.35433070866141736" top="0.15748031496062992" bottom="0.15748031496062992" header="0.51181102362204722" footer="7.874015748031496E-2"/>
  <pageSetup paperSize="8" scale="78" orientation="landscape" r:id="rId1"/>
  <headerFooter alignWithMargins="0"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zoomScale="85" zoomScaleNormal="85" zoomScaleSheetLayoutView="70" workbookViewId="0">
      <pane xSplit="3" ySplit="7" topLeftCell="D32" activePane="bottomRight" state="frozen"/>
      <selection pane="topRight" activeCell="D1" sqref="D1"/>
      <selection pane="bottomLeft" activeCell="A10" sqref="A10"/>
      <selection pane="bottomRight" activeCell="V42" sqref="V42"/>
    </sheetView>
  </sheetViews>
  <sheetFormatPr defaultRowHeight="12.75" x14ac:dyDescent="0.2"/>
  <cols>
    <col min="1" max="1" width="5.140625" style="12" customWidth="1"/>
    <col min="2" max="2" width="19.42578125" style="1" customWidth="1"/>
    <col min="3" max="3" width="41.42578125" style="1" customWidth="1"/>
    <col min="4" max="8" width="10.42578125" style="1" customWidth="1"/>
    <col min="9" max="13" width="10.42578125" style="5" customWidth="1"/>
    <col min="14" max="17" width="10.42578125" style="1" customWidth="1"/>
    <col min="18" max="18" width="12.7109375" style="1" customWidth="1"/>
    <col min="19" max="19" width="14.140625" style="1" customWidth="1"/>
    <col min="20" max="20" width="20.85546875" style="1" customWidth="1"/>
    <col min="21" max="21" width="11.5703125" style="1" bestFit="1" customWidth="1"/>
    <col min="22" max="22" width="12.5703125" style="1" customWidth="1"/>
    <col min="23" max="16384" width="9.140625" style="1"/>
  </cols>
  <sheetData>
    <row r="1" spans="1:22" ht="15" x14ac:dyDescent="0.25">
      <c r="A1" s="11"/>
      <c r="B1"/>
      <c r="C1" s="9"/>
      <c r="D1" s="9"/>
      <c r="E1" s="9"/>
      <c r="F1" s="9"/>
      <c r="G1" s="9"/>
      <c r="H1" s="9"/>
      <c r="I1" s="86"/>
      <c r="J1" s="86"/>
      <c r="K1" s="86"/>
      <c r="L1" s="86"/>
      <c r="M1" s="86"/>
      <c r="N1" s="111"/>
      <c r="O1" s="93"/>
      <c r="Q1" s="93"/>
      <c r="R1" s="112" t="s">
        <v>58</v>
      </c>
    </row>
    <row r="2" spans="1:22" ht="53.25" customHeight="1" x14ac:dyDescent="0.25">
      <c r="A2" s="85"/>
      <c r="B2" s="135" t="s">
        <v>107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85"/>
      <c r="O2" s="85"/>
      <c r="P2" s="175" t="s">
        <v>59</v>
      </c>
      <c r="Q2" s="175"/>
      <c r="R2" s="175"/>
    </row>
    <row r="3" spans="1:22" ht="54" customHeight="1" x14ac:dyDescent="0.25">
      <c r="A3" s="137"/>
      <c r="B3" s="138"/>
      <c r="C3" s="138"/>
      <c r="D3" s="138"/>
      <c r="E3" s="138"/>
      <c r="F3" s="138"/>
      <c r="G3" s="138"/>
      <c r="H3" s="138"/>
      <c r="I3" s="3"/>
      <c r="J3" s="3"/>
      <c r="K3" s="3"/>
      <c r="L3" s="3"/>
      <c r="M3" s="3"/>
      <c r="P3" s="139" t="s">
        <v>60</v>
      </c>
      <c r="Q3" s="139"/>
      <c r="R3" s="139"/>
    </row>
    <row r="4" spans="1:22" ht="23.25" customHeight="1" thickBot="1" x14ac:dyDescent="0.25">
      <c r="A4" s="89"/>
      <c r="B4" s="90"/>
      <c r="C4" s="90"/>
      <c r="D4" s="90"/>
      <c r="E4" s="90"/>
      <c r="F4" s="90"/>
      <c r="G4" s="90"/>
      <c r="H4" s="90"/>
      <c r="I4" s="3"/>
      <c r="J4" s="3"/>
      <c r="K4" s="3"/>
      <c r="L4" s="3"/>
      <c r="M4" s="3"/>
      <c r="P4" s="95"/>
      <c r="Q4" s="95"/>
      <c r="R4" s="95"/>
    </row>
    <row r="5" spans="1:22" ht="81.599999999999994" customHeight="1" thickBot="1" x14ac:dyDescent="0.25">
      <c r="A5" s="140" t="s">
        <v>20</v>
      </c>
      <c r="B5" s="142" t="s">
        <v>6</v>
      </c>
      <c r="C5" s="144" t="s">
        <v>7</v>
      </c>
      <c r="D5" s="146" t="str">
        <f>'(2018)'!D5:H5</f>
        <v>БЛОК 1
Укрупненная сметная стоимость 
(в ценах 2 кв. 2017 г.)</v>
      </c>
      <c r="E5" s="147"/>
      <c r="F5" s="147"/>
      <c r="G5" s="147"/>
      <c r="H5" s="148"/>
      <c r="I5" s="149" t="str">
        <f>'(2018)'!I5:M5</f>
        <v>БЛОК 2
Укрупненная сметная стоимость 
в ценах на 01.01.2000 года</v>
      </c>
      <c r="J5" s="150"/>
      <c r="K5" s="150"/>
      <c r="L5" s="150"/>
      <c r="M5" s="151"/>
      <c r="N5" s="152" t="s">
        <v>80</v>
      </c>
      <c r="O5" s="153"/>
      <c r="P5" s="153"/>
      <c r="Q5" s="153"/>
      <c r="R5" s="154"/>
      <c r="T5" s="70"/>
      <c r="V5" s="113"/>
    </row>
    <row r="6" spans="1:22" ht="51.75" customHeight="1" thickBot="1" x14ac:dyDescent="0.25">
      <c r="A6" s="141"/>
      <c r="B6" s="143"/>
      <c r="C6" s="145"/>
      <c r="D6" s="13" t="s">
        <v>0</v>
      </c>
      <c r="E6" s="14" t="s">
        <v>1</v>
      </c>
      <c r="F6" s="14" t="s">
        <v>2</v>
      </c>
      <c r="G6" s="15" t="s">
        <v>3</v>
      </c>
      <c r="H6" s="41" t="s">
        <v>8</v>
      </c>
      <c r="I6" s="42" t="s">
        <v>0</v>
      </c>
      <c r="J6" s="43" t="s">
        <v>1</v>
      </c>
      <c r="K6" s="43" t="s">
        <v>2</v>
      </c>
      <c r="L6" s="44" t="s">
        <v>3</v>
      </c>
      <c r="M6" s="45" t="s">
        <v>8</v>
      </c>
      <c r="N6" s="42" t="s">
        <v>0</v>
      </c>
      <c r="O6" s="43" t="s">
        <v>1</v>
      </c>
      <c r="P6" s="43" t="s">
        <v>2</v>
      </c>
      <c r="Q6" s="44" t="s">
        <v>3</v>
      </c>
      <c r="R6" s="46" t="s">
        <v>8</v>
      </c>
    </row>
    <row r="7" spans="1:22" ht="14.25" customHeight="1" x14ac:dyDescent="0.2">
      <c r="A7" s="18">
        <v>1</v>
      </c>
      <c r="B7" s="19">
        <v>2</v>
      </c>
      <c r="C7" s="20">
        <v>3</v>
      </c>
      <c r="D7" s="21">
        <v>4</v>
      </c>
      <c r="E7" s="22">
        <v>5</v>
      </c>
      <c r="F7" s="22">
        <v>6</v>
      </c>
      <c r="G7" s="23">
        <v>7</v>
      </c>
      <c r="H7" s="24">
        <v>8</v>
      </c>
      <c r="I7" s="25">
        <v>9</v>
      </c>
      <c r="J7" s="26">
        <v>10</v>
      </c>
      <c r="K7" s="26">
        <v>11</v>
      </c>
      <c r="L7" s="27">
        <v>12</v>
      </c>
      <c r="M7" s="28">
        <v>13</v>
      </c>
      <c r="N7" s="25">
        <v>32</v>
      </c>
      <c r="O7" s="26">
        <v>33</v>
      </c>
      <c r="P7" s="26">
        <v>34</v>
      </c>
      <c r="Q7" s="27">
        <v>35</v>
      </c>
      <c r="R7" s="28">
        <v>36</v>
      </c>
    </row>
    <row r="8" spans="1:22" ht="14.25" hidden="1" customHeight="1" x14ac:dyDescent="0.2">
      <c r="A8" s="156" t="s">
        <v>36</v>
      </c>
      <c r="B8" s="157"/>
      <c r="C8" s="158"/>
      <c r="D8" s="50"/>
      <c r="E8" s="87"/>
      <c r="F8" s="87"/>
      <c r="G8" s="87"/>
      <c r="H8" s="51"/>
      <c r="I8" s="50"/>
      <c r="J8" s="87"/>
      <c r="K8" s="87"/>
      <c r="L8" s="87"/>
      <c r="M8" s="51"/>
      <c r="N8" s="66"/>
      <c r="O8" s="30"/>
      <c r="P8" s="30"/>
      <c r="Q8" s="30"/>
      <c r="R8" s="67"/>
    </row>
    <row r="9" spans="1:22" ht="39.75" hidden="1" customHeight="1" x14ac:dyDescent="0.2">
      <c r="A9" s="72"/>
      <c r="B9" s="73"/>
      <c r="C9" s="74"/>
      <c r="D9" s="52">
        <f>I9*6.42</f>
        <v>0</v>
      </c>
      <c r="E9" s="31"/>
      <c r="F9" s="31"/>
      <c r="G9" s="31"/>
      <c r="H9" s="53">
        <f>SUM(D9:G9)</f>
        <v>0</v>
      </c>
      <c r="I9" s="52"/>
      <c r="J9" s="31"/>
      <c r="K9" s="31"/>
      <c r="L9" s="31"/>
      <c r="M9" s="53">
        <f>SUM(I9:L9)</f>
        <v>0</v>
      </c>
      <c r="N9" s="52">
        <f>I9*6.35</f>
        <v>0</v>
      </c>
      <c r="O9" s="31"/>
      <c r="P9" s="31"/>
      <c r="Q9" s="31"/>
      <c r="R9" s="53">
        <f>N9+O9+P9+Q9</f>
        <v>0</v>
      </c>
    </row>
    <row r="10" spans="1:22" ht="14.25" hidden="1" customHeight="1" x14ac:dyDescent="0.2">
      <c r="A10" s="75"/>
      <c r="B10" s="76" t="s">
        <v>19</v>
      </c>
      <c r="C10" s="77" t="s">
        <v>34</v>
      </c>
      <c r="D10" s="54">
        <f t="shared" ref="D10:Q10" si="0">D9</f>
        <v>0</v>
      </c>
      <c r="E10" s="34">
        <f t="shared" si="0"/>
        <v>0</v>
      </c>
      <c r="F10" s="34">
        <f t="shared" si="0"/>
        <v>0</v>
      </c>
      <c r="G10" s="34">
        <f t="shared" si="0"/>
        <v>0</v>
      </c>
      <c r="H10" s="53">
        <f>SUM(D10:G10)</f>
        <v>0</v>
      </c>
      <c r="I10" s="54">
        <f t="shared" si="0"/>
        <v>0</v>
      </c>
      <c r="J10" s="34">
        <f>J9</f>
        <v>0</v>
      </c>
      <c r="K10" s="34">
        <f t="shared" si="0"/>
        <v>0</v>
      </c>
      <c r="L10" s="34">
        <f t="shared" si="0"/>
        <v>0</v>
      </c>
      <c r="M10" s="53">
        <f>SUM(I10:L10)</f>
        <v>0</v>
      </c>
      <c r="N10" s="5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53">
        <f>SUM(N10:Q10)</f>
        <v>0</v>
      </c>
    </row>
    <row r="11" spans="1:22" ht="16.5" customHeight="1" x14ac:dyDescent="0.2">
      <c r="A11" s="159" t="s">
        <v>9</v>
      </c>
      <c r="B11" s="157"/>
      <c r="C11" s="158"/>
      <c r="D11" s="50"/>
      <c r="E11" s="87"/>
      <c r="F11" s="87"/>
      <c r="G11" s="87"/>
      <c r="H11" s="53"/>
      <c r="I11" s="50"/>
      <c r="J11" s="88"/>
      <c r="K11" s="88"/>
      <c r="L11" s="87"/>
      <c r="M11" s="51"/>
      <c r="N11" s="50"/>
      <c r="O11" s="87"/>
      <c r="P11" s="87"/>
      <c r="Q11" s="87"/>
      <c r="R11" s="51"/>
      <c r="T11" s="12"/>
    </row>
    <row r="12" spans="1:22" ht="45.75" customHeight="1" x14ac:dyDescent="0.2">
      <c r="A12" s="72">
        <v>1</v>
      </c>
      <c r="B12" s="73" t="s">
        <v>42</v>
      </c>
      <c r="C12" s="74" t="s">
        <v>81</v>
      </c>
      <c r="D12" s="52">
        <v>0</v>
      </c>
      <c r="E12" s="31">
        <f>J12*4.9*1.003</f>
        <v>5703.5660656379996</v>
      </c>
      <c r="F12" s="31">
        <f>K12*4.28</f>
        <v>22112.88536</v>
      </c>
      <c r="G12" s="31"/>
      <c r="H12" s="53">
        <f t="shared" ref="H12:H14" si="1">SUM(D12:G12)</f>
        <v>27816.451425637999</v>
      </c>
      <c r="I12" s="80"/>
      <c r="J12" s="31">
        <f>0.38453*3018</f>
        <v>1160.51154</v>
      </c>
      <c r="K12" s="31">
        <f>1.678*3079</f>
        <v>5166.5619999999999</v>
      </c>
      <c r="L12" s="31"/>
      <c r="M12" s="53">
        <f>SUM(I12:L12)</f>
        <v>6327.0735399999994</v>
      </c>
      <c r="N12" s="80"/>
      <c r="O12" s="31">
        <f>J12*4.21*1.003</f>
        <v>4900.4108441501994</v>
      </c>
      <c r="P12" s="31">
        <f>K12*3.82</f>
        <v>19736.26684</v>
      </c>
      <c r="Q12" s="31"/>
      <c r="R12" s="53">
        <f>SUM(N12:Q12)</f>
        <v>24636.6776841502</v>
      </c>
      <c r="T12" s="12"/>
    </row>
    <row r="13" spans="1:22" ht="49.5" customHeight="1" x14ac:dyDescent="0.2">
      <c r="A13" s="72">
        <v>2</v>
      </c>
      <c r="B13" s="73" t="s">
        <v>63</v>
      </c>
      <c r="C13" s="74" t="s">
        <v>82</v>
      </c>
      <c r="D13" s="52"/>
      <c r="E13" s="31">
        <f>J13*4.9*1.003</f>
        <v>3554.7507090619997</v>
      </c>
      <c r="F13" s="31">
        <f t="shared" ref="F13:F14" si="2">K13*4.28</f>
        <v>15655.041600000002</v>
      </c>
      <c r="G13" s="31"/>
      <c r="H13" s="53">
        <f t="shared" si="1"/>
        <v>19209.792309062002</v>
      </c>
      <c r="I13" s="80"/>
      <c r="J13" s="31">
        <f>0.69614*1039</f>
        <v>723.28945999999996</v>
      </c>
      <c r="K13" s="31">
        <f>3.74*978</f>
        <v>3657.7200000000003</v>
      </c>
      <c r="L13" s="31"/>
      <c r="M13" s="53">
        <f>SUM(I13:L13)</f>
        <v>4381.0094600000002</v>
      </c>
      <c r="N13" s="80"/>
      <c r="O13" s="31">
        <f>J13*4.21*1.003</f>
        <v>3054.1837724797997</v>
      </c>
      <c r="P13" s="31">
        <f>K13*3.82</f>
        <v>13972.490400000001</v>
      </c>
      <c r="Q13" s="31"/>
      <c r="R13" s="53">
        <f>SUM(N13:Q13)</f>
        <v>17026.674172479801</v>
      </c>
      <c r="T13" s="12"/>
    </row>
    <row r="14" spans="1:22" ht="45.75" customHeight="1" x14ac:dyDescent="0.2">
      <c r="A14" s="72">
        <v>3</v>
      </c>
      <c r="B14" s="73" t="s">
        <v>65</v>
      </c>
      <c r="C14" s="74" t="s">
        <v>83</v>
      </c>
      <c r="D14" s="52"/>
      <c r="E14" s="31">
        <f>J14*7.29*1.003</f>
        <v>2288.4247626677993</v>
      </c>
      <c r="F14" s="31">
        <f t="shared" si="2"/>
        <v>5353.3906160000006</v>
      </c>
      <c r="G14" s="31"/>
      <c r="H14" s="53">
        <f t="shared" si="1"/>
        <v>7641.8153786677995</v>
      </c>
      <c r="I14" s="80"/>
      <c r="J14" s="31">
        <f>3.32951*94</f>
        <v>312.97393999999997</v>
      </c>
      <c r="K14" s="31">
        <f>13.3063*94</f>
        <v>1250.7922000000001</v>
      </c>
      <c r="L14" s="31"/>
      <c r="M14" s="53">
        <f>SUM(I14:L14)</f>
        <v>1563.7661400000002</v>
      </c>
      <c r="N14" s="80"/>
      <c r="O14" s="31">
        <f>J14*6.35*1.003</f>
        <v>1993.3466725569995</v>
      </c>
      <c r="P14" s="31">
        <f t="shared" ref="P14" si="3">K14*3.82</f>
        <v>4778.0262039999998</v>
      </c>
      <c r="Q14" s="31"/>
      <c r="R14" s="53">
        <f>SUM(N14:Q14)</f>
        <v>6771.3728765569995</v>
      </c>
      <c r="T14" s="12"/>
    </row>
    <row r="15" spans="1:22" ht="14.25" customHeight="1" x14ac:dyDescent="0.2">
      <c r="A15" s="75"/>
      <c r="B15" s="76" t="s">
        <v>19</v>
      </c>
      <c r="C15" s="77" t="s">
        <v>10</v>
      </c>
      <c r="D15" s="54">
        <f>SUM(D12:D14)</f>
        <v>0</v>
      </c>
      <c r="E15" s="34">
        <f>SUM(E12:E14)</f>
        <v>11546.741537367798</v>
      </c>
      <c r="F15" s="34">
        <f t="shared" ref="F15:G15" si="4">SUM(F12:F14)</f>
        <v>43121.317576000001</v>
      </c>
      <c r="G15" s="34">
        <f t="shared" si="4"/>
        <v>0</v>
      </c>
      <c r="H15" s="53">
        <f>SUM(D15:G15)</f>
        <v>54668.059113367795</v>
      </c>
      <c r="I15" s="54">
        <f>SUM(I12:I14)</f>
        <v>0</v>
      </c>
      <c r="J15" s="34">
        <f>SUM(J12:J14)</f>
        <v>2196.7749399999998</v>
      </c>
      <c r="K15" s="34">
        <f>SUM(K12:K14)</f>
        <v>10075.074199999999</v>
      </c>
      <c r="L15" s="34">
        <f t="shared" ref="L15" si="5">SUM(L12:L14)</f>
        <v>0</v>
      </c>
      <c r="M15" s="53">
        <f>SUM(I15:L15)</f>
        <v>12271.849139999998</v>
      </c>
      <c r="N15" s="81">
        <f>N12+N14</f>
        <v>0</v>
      </c>
      <c r="O15" s="34">
        <f>SUM(O12:O14)</f>
        <v>9947.9412891869979</v>
      </c>
      <c r="P15" s="34">
        <f>SUM(P12:P14)</f>
        <v>38486.783444000001</v>
      </c>
      <c r="Q15" s="34">
        <f t="shared" ref="Q15" si="6">Q12+Q14</f>
        <v>0</v>
      </c>
      <c r="R15" s="53">
        <f>SUM(N15:Q15)</f>
        <v>48434.724733187002</v>
      </c>
    </row>
    <row r="16" spans="1:22" ht="14.25" customHeight="1" x14ac:dyDescent="0.2">
      <c r="A16" s="75"/>
      <c r="B16" s="76"/>
      <c r="C16" s="78" t="s">
        <v>37</v>
      </c>
      <c r="D16" s="54">
        <f>D15+D10</f>
        <v>0</v>
      </c>
      <c r="E16" s="34">
        <f>E15+E10</f>
        <v>11546.741537367798</v>
      </c>
      <c r="F16" s="34">
        <f t="shared" ref="F16:G16" si="7">F15+F10</f>
        <v>43121.317576000001</v>
      </c>
      <c r="G16" s="34">
        <f t="shared" si="7"/>
        <v>0</v>
      </c>
      <c r="H16" s="53">
        <f>SUM(D16:G16)</f>
        <v>54668.059113367795</v>
      </c>
      <c r="I16" s="54">
        <f>I15+I10</f>
        <v>0</v>
      </c>
      <c r="J16" s="34">
        <f>J15+J10</f>
        <v>2196.7749399999998</v>
      </c>
      <c r="K16" s="34">
        <f t="shared" ref="K16:L16" si="8">K15+K10</f>
        <v>10075.074199999999</v>
      </c>
      <c r="L16" s="34">
        <f t="shared" si="8"/>
        <v>0</v>
      </c>
      <c r="M16" s="53">
        <f>SUM(I16:L16)</f>
        <v>12271.849139999998</v>
      </c>
      <c r="N16" s="81">
        <f>N15+N10</f>
        <v>0</v>
      </c>
      <c r="O16" s="34">
        <f>O15+O10</f>
        <v>9947.9412891869979</v>
      </c>
      <c r="P16" s="34">
        <f t="shared" ref="P16:Q16" si="9">P15+P10</f>
        <v>38486.783444000001</v>
      </c>
      <c r="Q16" s="34">
        <f t="shared" si="9"/>
        <v>0</v>
      </c>
      <c r="R16" s="53">
        <f>SUM(N16:Q16)</f>
        <v>48434.724733187002</v>
      </c>
    </row>
    <row r="17" spans="1:18" ht="15.75" customHeight="1" x14ac:dyDescent="0.2">
      <c r="A17" s="159" t="s">
        <v>25</v>
      </c>
      <c r="B17" s="157"/>
      <c r="C17" s="158"/>
      <c r="D17" s="55"/>
      <c r="E17" s="35"/>
      <c r="F17" s="35"/>
      <c r="G17" s="35"/>
      <c r="H17" s="56"/>
      <c r="I17" s="82"/>
      <c r="J17" s="35"/>
      <c r="K17" s="35"/>
      <c r="L17" s="35"/>
      <c r="M17" s="56"/>
      <c r="N17" s="82"/>
      <c r="O17" s="35"/>
      <c r="P17" s="35"/>
      <c r="Q17" s="35"/>
      <c r="R17" s="56"/>
    </row>
    <row r="18" spans="1:18" ht="34.5" customHeight="1" x14ac:dyDescent="0.2">
      <c r="A18" s="72">
        <v>3</v>
      </c>
      <c r="B18" s="73" t="s">
        <v>31</v>
      </c>
      <c r="C18" s="74" t="s">
        <v>67</v>
      </c>
      <c r="D18" s="52">
        <f>D16*3.12%</f>
        <v>0</v>
      </c>
      <c r="E18" s="31">
        <f>E16*2.5%</f>
        <v>288.66853843419494</v>
      </c>
      <c r="F18" s="31"/>
      <c r="G18" s="31"/>
      <c r="H18" s="53">
        <f>SUM(D18:G18)</f>
        <v>288.66853843419494</v>
      </c>
      <c r="I18" s="80">
        <f>I16*3.12%</f>
        <v>0</v>
      </c>
      <c r="J18" s="31">
        <f>J16*2.5%</f>
        <v>54.919373499999999</v>
      </c>
      <c r="K18" s="31"/>
      <c r="L18" s="31"/>
      <c r="M18" s="53">
        <f>SUM(I18:L18)</f>
        <v>54.919373499999999</v>
      </c>
      <c r="N18" s="80">
        <f>N16*3.12%</f>
        <v>0</v>
      </c>
      <c r="O18" s="31"/>
      <c r="P18" s="31"/>
      <c r="Q18" s="31"/>
      <c r="R18" s="53">
        <f>SUM(N18:Q18)</f>
        <v>0</v>
      </c>
    </row>
    <row r="19" spans="1:18" ht="14.25" customHeight="1" x14ac:dyDescent="0.2">
      <c r="A19" s="75"/>
      <c r="B19" s="76" t="s">
        <v>19</v>
      </c>
      <c r="C19" s="77" t="s">
        <v>26</v>
      </c>
      <c r="D19" s="54">
        <f>D18</f>
        <v>0</v>
      </c>
      <c r="E19" s="34">
        <f>E18</f>
        <v>288.66853843419494</v>
      </c>
      <c r="F19" s="34"/>
      <c r="G19" s="34"/>
      <c r="H19" s="53">
        <f>SUM(D19:G19)</f>
        <v>288.66853843419494</v>
      </c>
      <c r="I19" s="81">
        <f>I18</f>
        <v>0</v>
      </c>
      <c r="J19" s="34">
        <f>J18</f>
        <v>54.919373499999999</v>
      </c>
      <c r="K19" s="34"/>
      <c r="L19" s="34"/>
      <c r="M19" s="53">
        <f>SUM(I19:L19)</f>
        <v>54.919373499999999</v>
      </c>
      <c r="N19" s="54">
        <f>N18</f>
        <v>0</v>
      </c>
      <c r="O19" s="34">
        <f>O18</f>
        <v>0</v>
      </c>
      <c r="P19" s="34"/>
      <c r="Q19" s="34"/>
      <c r="R19" s="53">
        <f>SUM(N19:Q19)</f>
        <v>0</v>
      </c>
    </row>
    <row r="20" spans="1:18" ht="14.25" customHeight="1" x14ac:dyDescent="0.2">
      <c r="A20" s="75"/>
      <c r="B20" s="76"/>
      <c r="C20" s="78" t="s">
        <v>38</v>
      </c>
      <c r="D20" s="54">
        <f>D16+D19</f>
        <v>0</v>
      </c>
      <c r="E20" s="34">
        <f>E16+E19</f>
        <v>11835.410075801992</v>
      </c>
      <c r="F20" s="34">
        <f t="shared" ref="F20:G20" si="10">F16+F19</f>
        <v>43121.317576000001</v>
      </c>
      <c r="G20" s="34">
        <f t="shared" si="10"/>
        <v>0</v>
      </c>
      <c r="H20" s="53">
        <f>SUM(D20:G20)</f>
        <v>54956.727651801993</v>
      </c>
      <c r="I20" s="81">
        <f>I16+I19</f>
        <v>0</v>
      </c>
      <c r="J20" s="34">
        <f>J16+J19</f>
        <v>2251.6943134999997</v>
      </c>
      <c r="K20" s="34">
        <f t="shared" ref="K20:L20" si="11">K16+K19</f>
        <v>10075.074199999999</v>
      </c>
      <c r="L20" s="34">
        <f t="shared" si="11"/>
        <v>0</v>
      </c>
      <c r="M20" s="53">
        <f>SUM(I20:L20)</f>
        <v>12326.768513499999</v>
      </c>
      <c r="N20" s="54">
        <f>N16+N19</f>
        <v>0</v>
      </c>
      <c r="O20" s="34">
        <f>O16+O19</f>
        <v>9947.9412891869979</v>
      </c>
      <c r="P20" s="34">
        <f t="shared" ref="P20:Q20" si="12">P16+P19</f>
        <v>38486.783444000001</v>
      </c>
      <c r="Q20" s="34">
        <f t="shared" si="12"/>
        <v>0</v>
      </c>
      <c r="R20" s="53">
        <f>SUM(N20:Q20)</f>
        <v>48434.724733187002</v>
      </c>
    </row>
    <row r="21" spans="1:18" ht="15.75" customHeight="1" x14ac:dyDescent="0.2">
      <c r="A21" s="159" t="s">
        <v>11</v>
      </c>
      <c r="B21" s="157"/>
      <c r="C21" s="158"/>
      <c r="D21" s="55"/>
      <c r="E21" s="35"/>
      <c r="F21" s="35"/>
      <c r="G21" s="35"/>
      <c r="H21" s="56"/>
      <c r="I21" s="55"/>
      <c r="J21" s="35"/>
      <c r="K21" s="35"/>
      <c r="L21" s="35"/>
      <c r="M21" s="56"/>
      <c r="N21" s="55"/>
      <c r="O21" s="35"/>
      <c r="P21" s="35"/>
      <c r="Q21" s="35"/>
      <c r="R21" s="56"/>
    </row>
    <row r="22" spans="1:18" ht="30" x14ac:dyDescent="0.2">
      <c r="A22" s="75">
        <v>4</v>
      </c>
      <c r="B22" s="73" t="s">
        <v>42</v>
      </c>
      <c r="C22" s="74" t="s">
        <v>43</v>
      </c>
      <c r="D22" s="54">
        <f>D20*4.73%</f>
        <v>0</v>
      </c>
      <c r="E22" s="34">
        <v>0</v>
      </c>
      <c r="F22" s="34"/>
      <c r="G22" s="34">
        <f>L22*14.66*1.003</f>
        <v>16274.202437981197</v>
      </c>
      <c r="H22" s="57">
        <f>SUM(D22:G22)</f>
        <v>16274.202437981197</v>
      </c>
      <c r="I22" s="54"/>
      <c r="J22" s="34"/>
      <c r="K22" s="34"/>
      <c r="L22" s="34">
        <f>0.10074*3158+0.10074*994+7.73614*89</f>
        <v>1106.7889399999999</v>
      </c>
      <c r="M22" s="57">
        <f>SUM(I22:L22)</f>
        <v>1106.7889399999999</v>
      </c>
      <c r="N22" s="54">
        <f>N20*4.73%</f>
        <v>0</v>
      </c>
      <c r="O22" s="34"/>
      <c r="P22" s="34"/>
      <c r="Q22" s="34">
        <f>L22*12.66</f>
        <v>14011.947980399998</v>
      </c>
      <c r="R22" s="57">
        <f>SUM(N22:Q22)</f>
        <v>14011.947980399998</v>
      </c>
    </row>
    <row r="23" spans="1:18" ht="14.25" customHeight="1" x14ac:dyDescent="0.2">
      <c r="A23" s="79"/>
      <c r="B23" s="76" t="s">
        <v>19</v>
      </c>
      <c r="C23" s="77" t="s">
        <v>12</v>
      </c>
      <c r="D23" s="54">
        <f>SUM(D22:D22)</f>
        <v>0</v>
      </c>
      <c r="E23" s="34">
        <f>SUM(E22:E22)</f>
        <v>0</v>
      </c>
      <c r="F23" s="34">
        <f>SUM(F22:F22)</f>
        <v>0</v>
      </c>
      <c r="G23" s="34">
        <f>SUM(G22:G22)</f>
        <v>16274.202437981197</v>
      </c>
      <c r="H23" s="57">
        <f>SUM(D23:G23)</f>
        <v>16274.202437981197</v>
      </c>
      <c r="I23" s="54">
        <f>SUM(I22:I22)</f>
        <v>0</v>
      </c>
      <c r="J23" s="34">
        <f>SUM(J22:J22)</f>
        <v>0</v>
      </c>
      <c r="K23" s="34">
        <f>SUM(K22:K22)</f>
        <v>0</v>
      </c>
      <c r="L23" s="34">
        <f>SUM(L22:L22)</f>
        <v>1106.7889399999999</v>
      </c>
      <c r="M23" s="57">
        <f>SUM(I23:L23)</f>
        <v>1106.7889399999999</v>
      </c>
      <c r="N23" s="54">
        <f>SUM(N22:N22)</f>
        <v>0</v>
      </c>
      <c r="O23" s="34">
        <f>SUM(O22:O22)</f>
        <v>0</v>
      </c>
      <c r="P23" s="34">
        <f>SUM(P22:P22)</f>
        <v>0</v>
      </c>
      <c r="Q23" s="34">
        <f>SUM(Q22:Q22)</f>
        <v>14011.947980399998</v>
      </c>
      <c r="R23" s="57">
        <f>SUM(N23:Q23)</f>
        <v>14011.947980399998</v>
      </c>
    </row>
    <row r="24" spans="1:18" ht="14.25" customHeight="1" x14ac:dyDescent="0.2">
      <c r="A24" s="79"/>
      <c r="B24" s="76" t="s">
        <v>19</v>
      </c>
      <c r="C24" s="78" t="s">
        <v>4</v>
      </c>
      <c r="D24" s="54">
        <f>D20+D23</f>
        <v>0</v>
      </c>
      <c r="E24" s="34">
        <f>E20+E23</f>
        <v>11835.410075801992</v>
      </c>
      <c r="F24" s="34">
        <f>F20+F23</f>
        <v>43121.317576000001</v>
      </c>
      <c r="G24" s="34">
        <f>G20+G23</f>
        <v>16274.202437981197</v>
      </c>
      <c r="H24" s="57">
        <f>H10+H15+H19+H23</f>
        <v>71230.930089783185</v>
      </c>
      <c r="I24" s="54">
        <f>I20+I23</f>
        <v>0</v>
      </c>
      <c r="J24" s="34">
        <f>J20+J23</f>
        <v>2251.6943134999997</v>
      </c>
      <c r="K24" s="34">
        <f>K20+K23</f>
        <v>10075.074199999999</v>
      </c>
      <c r="L24" s="34">
        <f>L20+L23</f>
        <v>1106.7889399999999</v>
      </c>
      <c r="M24" s="57">
        <f>M10+M15+M19+M23</f>
        <v>13433.5574535</v>
      </c>
      <c r="N24" s="54">
        <f>N20+N23</f>
        <v>0</v>
      </c>
      <c r="O24" s="34">
        <f>O20+O23</f>
        <v>9947.9412891869979</v>
      </c>
      <c r="P24" s="34">
        <f>P20+P23</f>
        <v>38486.783444000001</v>
      </c>
      <c r="Q24" s="34">
        <f>Q20+Q23</f>
        <v>14011.947980399998</v>
      </c>
      <c r="R24" s="57">
        <f>R10+R15+R19+R23</f>
        <v>62446.672713587002</v>
      </c>
    </row>
    <row r="25" spans="1:18" ht="19.5" customHeight="1" x14ac:dyDescent="0.2">
      <c r="A25" s="159" t="s">
        <v>13</v>
      </c>
      <c r="B25" s="157"/>
      <c r="C25" s="158"/>
      <c r="D25" s="55"/>
      <c r="E25" s="35"/>
      <c r="F25" s="35"/>
      <c r="G25" s="35"/>
      <c r="H25" s="56"/>
      <c r="I25" s="55"/>
      <c r="J25" s="35"/>
      <c r="K25" s="71"/>
      <c r="L25" s="71"/>
      <c r="M25" s="56"/>
      <c r="N25" s="55"/>
      <c r="O25" s="35"/>
      <c r="P25" s="35"/>
      <c r="Q25" s="35"/>
      <c r="R25" s="56"/>
    </row>
    <row r="26" spans="1:18" ht="46.5" customHeight="1" x14ac:dyDescent="0.2">
      <c r="A26" s="75">
        <v>6</v>
      </c>
      <c r="B26" s="73" t="s">
        <v>32</v>
      </c>
      <c r="C26" s="74" t="s">
        <v>35</v>
      </c>
      <c r="D26" s="54"/>
      <c r="E26" s="34"/>
      <c r="F26" s="34"/>
      <c r="G26" s="34">
        <f>L26*8.42</f>
        <v>534.10419389110223</v>
      </c>
      <c r="H26" s="57">
        <f>G26</f>
        <v>534.10419389110223</v>
      </c>
      <c r="I26" s="54"/>
      <c r="J26" s="34"/>
      <c r="K26" s="34"/>
      <c r="L26" s="34">
        <f>Q26/7.53</f>
        <v>63.432802124833998</v>
      </c>
      <c r="M26" s="57">
        <f>L26</f>
        <v>63.432802124833998</v>
      </c>
      <c r="N26" s="54"/>
      <c r="O26" s="34"/>
      <c r="P26" s="34"/>
      <c r="Q26" s="34">
        <v>477.649</v>
      </c>
      <c r="R26" s="57">
        <f>Q26</f>
        <v>477.649</v>
      </c>
    </row>
    <row r="27" spans="1:18" ht="14.25" customHeight="1" x14ac:dyDescent="0.2">
      <c r="A27" s="75"/>
      <c r="B27" s="76" t="s">
        <v>19</v>
      </c>
      <c r="C27" s="77" t="s">
        <v>14</v>
      </c>
      <c r="D27" s="54"/>
      <c r="E27" s="34"/>
      <c r="F27" s="34"/>
      <c r="G27" s="34">
        <f>G26</f>
        <v>534.10419389110223</v>
      </c>
      <c r="H27" s="57">
        <f>SUM(D27:G27)</f>
        <v>534.10419389110223</v>
      </c>
      <c r="I27" s="54"/>
      <c r="J27" s="34"/>
      <c r="K27" s="34"/>
      <c r="L27" s="34">
        <f>L26</f>
        <v>63.432802124833998</v>
      </c>
      <c r="M27" s="57">
        <f>SUM(I27:L27)</f>
        <v>63.432802124833998</v>
      </c>
      <c r="N27" s="54"/>
      <c r="O27" s="34"/>
      <c r="P27" s="34"/>
      <c r="Q27" s="34">
        <f>Q26</f>
        <v>477.649</v>
      </c>
      <c r="R27" s="57">
        <f>SUM(N27:Q27)</f>
        <v>477.649</v>
      </c>
    </row>
    <row r="28" spans="1:18" ht="14.25" customHeight="1" x14ac:dyDescent="0.2">
      <c r="A28" s="75"/>
      <c r="B28" s="76" t="s">
        <v>19</v>
      </c>
      <c r="C28" s="78" t="s">
        <v>21</v>
      </c>
      <c r="D28" s="54">
        <f t="shared" ref="D28:G28" si="13">D24+D27</f>
        <v>0</v>
      </c>
      <c r="E28" s="34">
        <f t="shared" si="13"/>
        <v>11835.410075801992</v>
      </c>
      <c r="F28" s="34">
        <f t="shared" si="13"/>
        <v>43121.317576000001</v>
      </c>
      <c r="G28" s="34">
        <f t="shared" si="13"/>
        <v>16808.306631872299</v>
      </c>
      <c r="H28" s="57">
        <f>SUM(D28:G28)</f>
        <v>71765.034283674293</v>
      </c>
      <c r="I28" s="54">
        <f t="shared" ref="I28:L28" si="14">I24+I27</f>
        <v>0</v>
      </c>
      <c r="J28" s="34">
        <f t="shared" si="14"/>
        <v>2251.6943134999997</v>
      </c>
      <c r="K28" s="34">
        <f t="shared" si="14"/>
        <v>10075.074199999999</v>
      </c>
      <c r="L28" s="34">
        <f t="shared" si="14"/>
        <v>1170.221742124834</v>
      </c>
      <c r="M28" s="57">
        <f>SUM(I28:L28)</f>
        <v>13496.990255624833</v>
      </c>
      <c r="N28" s="54">
        <f t="shared" ref="N28:Q28" si="15">N24+N27</f>
        <v>0</v>
      </c>
      <c r="O28" s="34">
        <f t="shared" si="15"/>
        <v>9947.9412891869979</v>
      </c>
      <c r="P28" s="34">
        <f t="shared" si="15"/>
        <v>38486.783444000001</v>
      </c>
      <c r="Q28" s="34">
        <f t="shared" si="15"/>
        <v>14489.596980399998</v>
      </c>
      <c r="R28" s="57">
        <f>SUM(N28:Q28)</f>
        <v>62924.321713587</v>
      </c>
    </row>
    <row r="29" spans="1:18" ht="28.5" customHeight="1" x14ac:dyDescent="0.2">
      <c r="A29" s="159" t="s">
        <v>22</v>
      </c>
      <c r="B29" s="157"/>
      <c r="C29" s="158"/>
      <c r="D29" s="55"/>
      <c r="E29" s="35"/>
      <c r="F29" s="35"/>
      <c r="G29" s="35"/>
      <c r="H29" s="56"/>
      <c r="I29" s="55"/>
      <c r="J29" s="35"/>
      <c r="K29" s="35"/>
      <c r="L29" s="35"/>
      <c r="M29" s="56"/>
      <c r="N29" s="55"/>
      <c r="O29" s="35"/>
      <c r="P29" s="35"/>
      <c r="Q29" s="35"/>
      <c r="R29" s="56"/>
    </row>
    <row r="30" spans="1:18" ht="20.25" customHeight="1" x14ac:dyDescent="0.2">
      <c r="A30" s="75">
        <v>7</v>
      </c>
      <c r="B30" s="73" t="s">
        <v>68</v>
      </c>
      <c r="C30" s="74" t="s">
        <v>69</v>
      </c>
      <c r="D30" s="54"/>
      <c r="E30" s="34"/>
      <c r="F30" s="34"/>
      <c r="G30" s="37">
        <f>L30*3.64</f>
        <v>0</v>
      </c>
      <c r="H30" s="57">
        <f>SUM(D30:G30)</f>
        <v>0</v>
      </c>
      <c r="I30" s="54"/>
      <c r="J30" s="34"/>
      <c r="K30" s="34"/>
      <c r="L30" s="37">
        <f>Q30/3.53</f>
        <v>0</v>
      </c>
      <c r="M30" s="57">
        <f>L30</f>
        <v>0</v>
      </c>
      <c r="N30" s="54"/>
      <c r="O30" s="34"/>
      <c r="P30" s="34"/>
      <c r="Q30" s="37"/>
      <c r="R30" s="57">
        <f>Q30</f>
        <v>0</v>
      </c>
    </row>
    <row r="31" spans="1:18" ht="14.25" customHeight="1" x14ac:dyDescent="0.2">
      <c r="A31" s="32"/>
      <c r="B31" s="33" t="s">
        <v>19</v>
      </c>
      <c r="C31" s="48" t="s">
        <v>15</v>
      </c>
      <c r="D31" s="54"/>
      <c r="E31" s="34"/>
      <c r="F31" s="34"/>
      <c r="G31" s="34">
        <f>G30</f>
        <v>0</v>
      </c>
      <c r="H31" s="57">
        <f>SUM(D31:G31)</f>
        <v>0</v>
      </c>
      <c r="I31" s="54"/>
      <c r="J31" s="34"/>
      <c r="K31" s="34"/>
      <c r="L31" s="34">
        <f>L30</f>
        <v>0</v>
      </c>
      <c r="M31" s="57">
        <f>SUM(I31:L31)</f>
        <v>0</v>
      </c>
      <c r="N31" s="54"/>
      <c r="O31" s="34"/>
      <c r="P31" s="34"/>
      <c r="Q31" s="34">
        <f>Q30</f>
        <v>0</v>
      </c>
      <c r="R31" s="57">
        <f>SUM(N31:Q31)</f>
        <v>0</v>
      </c>
    </row>
    <row r="32" spans="1:18" ht="14.25" customHeight="1" x14ac:dyDescent="0.2">
      <c r="A32" s="32"/>
      <c r="B32" s="33" t="s">
        <v>19</v>
      </c>
      <c r="C32" s="49" t="s">
        <v>23</v>
      </c>
      <c r="D32" s="54">
        <f t="shared" ref="D32:G32" si="16">D28+D31</f>
        <v>0</v>
      </c>
      <c r="E32" s="34">
        <f t="shared" si="16"/>
        <v>11835.410075801992</v>
      </c>
      <c r="F32" s="34">
        <f t="shared" si="16"/>
        <v>43121.317576000001</v>
      </c>
      <c r="G32" s="34">
        <f t="shared" si="16"/>
        <v>16808.306631872299</v>
      </c>
      <c r="H32" s="57">
        <f>SUM(D32:G32)</f>
        <v>71765.034283674293</v>
      </c>
      <c r="I32" s="54">
        <f t="shared" ref="I32:K32" si="17">I28+I31</f>
        <v>0</v>
      </c>
      <c r="J32" s="34">
        <f t="shared" si="17"/>
        <v>2251.6943134999997</v>
      </c>
      <c r="K32" s="34">
        <f t="shared" si="17"/>
        <v>10075.074199999999</v>
      </c>
      <c r="L32" s="34">
        <f>L28+L31</f>
        <v>1170.221742124834</v>
      </c>
      <c r="M32" s="57">
        <f>SUM(I32:L32)</f>
        <v>13496.990255624833</v>
      </c>
      <c r="N32" s="54">
        <f t="shared" ref="N32:Q32" si="18">N28+N31</f>
        <v>0</v>
      </c>
      <c r="O32" s="34">
        <f t="shared" si="18"/>
        <v>9947.9412891869979</v>
      </c>
      <c r="P32" s="34">
        <f t="shared" si="18"/>
        <v>38486.783444000001</v>
      </c>
      <c r="Q32" s="34">
        <f t="shared" si="18"/>
        <v>14489.596980399998</v>
      </c>
      <c r="R32" s="57">
        <f>SUM(N32:Q32)</f>
        <v>62924.321713587</v>
      </c>
    </row>
    <row r="33" spans="1:21" ht="14.25" customHeight="1" x14ac:dyDescent="0.2">
      <c r="A33" s="161"/>
      <c r="B33" s="162"/>
      <c r="C33" s="163"/>
      <c r="D33" s="55"/>
      <c r="E33" s="35"/>
      <c r="F33" s="35"/>
      <c r="G33" s="35"/>
      <c r="H33" s="56"/>
      <c r="I33" s="55"/>
      <c r="J33" s="35"/>
      <c r="K33" s="35"/>
      <c r="L33" s="35"/>
      <c r="M33" s="56"/>
      <c r="N33" s="55"/>
      <c r="O33" s="35"/>
      <c r="P33" s="35"/>
      <c r="Q33" s="35"/>
      <c r="R33" s="56"/>
    </row>
    <row r="34" spans="1:21" ht="34.5" customHeight="1" x14ac:dyDescent="0.2">
      <c r="A34" s="32">
        <v>8</v>
      </c>
      <c r="B34" s="17" t="s">
        <v>33</v>
      </c>
      <c r="C34" s="47" t="s">
        <v>24</v>
      </c>
      <c r="D34" s="54">
        <f>D32*3%</f>
        <v>0</v>
      </c>
      <c r="E34" s="34">
        <f>E32*3%</f>
        <v>355.06230227405973</v>
      </c>
      <c r="F34" s="34">
        <f>F32*3%</f>
        <v>1293.63952728</v>
      </c>
      <c r="G34" s="34">
        <f>G32*3%</f>
        <v>504.24919895616898</v>
      </c>
      <c r="H34" s="57">
        <f>SUM(D34:G34)</f>
        <v>2152.9510285102288</v>
      </c>
      <c r="I34" s="54">
        <f>I32*3%</f>
        <v>0</v>
      </c>
      <c r="J34" s="34">
        <f>J32*3%</f>
        <v>67.550829404999988</v>
      </c>
      <c r="K34" s="34">
        <f>K32*3%</f>
        <v>302.25222599999995</v>
      </c>
      <c r="L34" s="34">
        <f>L32*3%</f>
        <v>35.106652263745019</v>
      </c>
      <c r="M34" s="57">
        <f>SUM(I34:L34)</f>
        <v>404.909707668745</v>
      </c>
      <c r="N34" s="54">
        <f>N32*3%</f>
        <v>0</v>
      </c>
      <c r="O34" s="34">
        <f>O32*3%</f>
        <v>298.43823867560991</v>
      </c>
      <c r="P34" s="34">
        <f>P32*3%</f>
        <v>1154.6035033200001</v>
      </c>
      <c r="Q34" s="34">
        <f>Q32*3%</f>
        <v>434.6879094119999</v>
      </c>
      <c r="R34" s="57">
        <f>SUM(N34:Q34)</f>
        <v>1887.7296514076099</v>
      </c>
    </row>
    <row r="35" spans="1:21" ht="14.25" customHeight="1" x14ac:dyDescent="0.2">
      <c r="A35" s="32"/>
      <c r="B35" s="33" t="s">
        <v>19</v>
      </c>
      <c r="C35" s="47" t="s">
        <v>5</v>
      </c>
      <c r="D35" s="58">
        <f t="shared" ref="D35:G35" si="19">D32+D34</f>
        <v>0</v>
      </c>
      <c r="E35" s="38">
        <f t="shared" si="19"/>
        <v>12190.472378076052</v>
      </c>
      <c r="F35" s="38">
        <f t="shared" si="19"/>
        <v>44414.957103280001</v>
      </c>
      <c r="G35" s="38">
        <f t="shared" si="19"/>
        <v>17312.555830828467</v>
      </c>
      <c r="H35" s="59">
        <f>SUM(D35:G35)</f>
        <v>73917.985312184523</v>
      </c>
      <c r="I35" s="58">
        <f t="shared" ref="I35:L35" si="20">I32+I34</f>
        <v>0</v>
      </c>
      <c r="J35" s="38">
        <f t="shared" si="20"/>
        <v>2319.2451429049997</v>
      </c>
      <c r="K35" s="38">
        <f t="shared" si="20"/>
        <v>10377.326426</v>
      </c>
      <c r="L35" s="38">
        <f t="shared" si="20"/>
        <v>1205.328394388579</v>
      </c>
      <c r="M35" s="59">
        <f>SUM(I35:L35)</f>
        <v>13901.899963293577</v>
      </c>
      <c r="N35" s="58">
        <f>N32+N34</f>
        <v>0</v>
      </c>
      <c r="O35" s="38">
        <f t="shared" ref="O35:Q35" si="21">O32+O34</f>
        <v>10246.379527862608</v>
      </c>
      <c r="P35" s="38">
        <f t="shared" si="21"/>
        <v>39641.386947320003</v>
      </c>
      <c r="Q35" s="38">
        <f t="shared" si="21"/>
        <v>14924.284889811997</v>
      </c>
      <c r="R35" s="59">
        <f>SUM(N35:Q35)</f>
        <v>64812.051364994608</v>
      </c>
    </row>
    <row r="36" spans="1:21" ht="29.25" customHeight="1" x14ac:dyDescent="0.2">
      <c r="A36" s="32"/>
      <c r="B36" s="33"/>
      <c r="C36" s="47" t="s">
        <v>84</v>
      </c>
      <c r="D36" s="58"/>
      <c r="E36" s="38"/>
      <c r="F36" s="38"/>
      <c r="G36" s="38"/>
      <c r="H36" s="60"/>
      <c r="I36" s="58"/>
      <c r="J36" s="38"/>
      <c r="K36" s="38"/>
      <c r="L36" s="38"/>
      <c r="M36" s="59"/>
      <c r="N36" s="68">
        <f>N35*1.06*1.049*1.143*1.06*1.05*1.045</f>
        <v>0</v>
      </c>
      <c r="O36" s="37">
        <f>O35*1.06*1.049*1.143*1.06*1.05*1.045*1.042</f>
        <v>15782.550796488909</v>
      </c>
      <c r="P36" s="37">
        <f>P35*1.06*1.049*1.143*1.06*1.05*1.045*1.042</f>
        <v>61059.831078681425</v>
      </c>
      <c r="Q36" s="37">
        <f>Q35*1.06*1.049*1.143*1.06*1.05*1.045*1.042</f>
        <v>22987.95235275304</v>
      </c>
      <c r="R36" s="59">
        <f>N36+O36+P36+Q36</f>
        <v>99830.334227923377</v>
      </c>
      <c r="T36" s="1">
        <v>0.7</v>
      </c>
    </row>
    <row r="37" spans="1:21" ht="14.25" customHeight="1" x14ac:dyDescent="0.2">
      <c r="A37" s="32"/>
      <c r="B37" s="33"/>
      <c r="C37" s="47" t="s">
        <v>30</v>
      </c>
      <c r="D37" s="58"/>
      <c r="E37" s="38"/>
      <c r="F37" s="38"/>
      <c r="G37" s="38"/>
      <c r="H37" s="60"/>
      <c r="I37" s="58"/>
      <c r="J37" s="38"/>
      <c r="K37" s="38"/>
      <c r="L37" s="38"/>
      <c r="M37" s="59"/>
      <c r="N37" s="68">
        <f>N36*$T$36</f>
        <v>0</v>
      </c>
      <c r="O37" s="37">
        <f t="shared" ref="O37" si="22">O36*$T$36</f>
        <v>11047.785557542236</v>
      </c>
      <c r="P37" s="37">
        <f>P36*$T$36</f>
        <v>42741.881755076996</v>
      </c>
      <c r="Q37" s="37">
        <f>(Q36-Q30)*$T$36+Q30</f>
        <v>16091.566646927127</v>
      </c>
      <c r="R37" s="59">
        <f>N37+O37+P37+Q37</f>
        <v>69881.233959546356</v>
      </c>
      <c r="U37" s="114" t="s">
        <v>85</v>
      </c>
    </row>
    <row r="38" spans="1:21" ht="14.25" customHeight="1" x14ac:dyDescent="0.2">
      <c r="A38" s="32"/>
      <c r="B38" s="39" t="s">
        <v>19</v>
      </c>
      <c r="C38" s="47" t="s">
        <v>16</v>
      </c>
      <c r="D38" s="61">
        <f>D35</f>
        <v>0</v>
      </c>
      <c r="E38" s="40">
        <f>E35</f>
        <v>12190.472378076052</v>
      </c>
      <c r="F38" s="40">
        <f>F35</f>
        <v>44414.957103280001</v>
      </c>
      <c r="G38" s="40">
        <f>G35</f>
        <v>17312.555830828467</v>
      </c>
      <c r="H38" s="62">
        <f>D38+E38+F38+G38</f>
        <v>73917.985312184523</v>
      </c>
      <c r="I38" s="61">
        <f>I35</f>
        <v>0</v>
      </c>
      <c r="J38" s="40">
        <f>J35</f>
        <v>2319.2451429049997</v>
      </c>
      <c r="K38" s="40">
        <f>K35</f>
        <v>10377.326426</v>
      </c>
      <c r="L38" s="40">
        <f>L35</f>
        <v>1205.328394388579</v>
      </c>
      <c r="M38" s="62">
        <f>I38+J38+K38+L38</f>
        <v>13901.899963293577</v>
      </c>
      <c r="N38" s="61">
        <f>N37</f>
        <v>0</v>
      </c>
      <c r="O38" s="40">
        <f>O37</f>
        <v>11047.785557542236</v>
      </c>
      <c r="P38" s="40">
        <f>P37</f>
        <v>42741.881755076996</v>
      </c>
      <c r="Q38" s="40">
        <f>Q37</f>
        <v>16091.566646927127</v>
      </c>
      <c r="R38" s="62">
        <f>N38+O38+P38+Q38</f>
        <v>69881.233959546356</v>
      </c>
      <c r="S38" s="115">
        <f>R38-U38</f>
        <v>-6.4520815794821829E-4</v>
      </c>
      <c r="U38" s="114">
        <v>69881.234604754514</v>
      </c>
    </row>
    <row r="39" spans="1:21" ht="14.25" customHeight="1" x14ac:dyDescent="0.2">
      <c r="A39" s="36"/>
      <c r="B39" s="39" t="s">
        <v>19</v>
      </c>
      <c r="C39" s="47" t="s">
        <v>17</v>
      </c>
      <c r="D39" s="54">
        <f>D38*0.18</f>
        <v>0</v>
      </c>
      <c r="E39" s="34">
        <f>E38*0.18</f>
        <v>2194.2850280536895</v>
      </c>
      <c r="F39" s="34">
        <f t="shared" ref="F39:G39" si="23">F38*0.18</f>
        <v>7994.6922785903998</v>
      </c>
      <c r="G39" s="34">
        <f t="shared" si="23"/>
        <v>3116.2600495491238</v>
      </c>
      <c r="H39" s="57">
        <f>D39+E39+F39+G39</f>
        <v>13305.237356193215</v>
      </c>
      <c r="I39" s="54">
        <f>I38*0.18</f>
        <v>0</v>
      </c>
      <c r="J39" s="34">
        <f>J38*0.18</f>
        <v>417.46412572289995</v>
      </c>
      <c r="K39" s="34">
        <f t="shared" ref="K39:L39" si="24">K38*0.18</f>
        <v>1867.9187566799999</v>
      </c>
      <c r="L39" s="34">
        <f t="shared" si="24"/>
        <v>216.95911098994421</v>
      </c>
      <c r="M39" s="57">
        <f>I39+J39+K39+L39</f>
        <v>2502.341993392844</v>
      </c>
      <c r="N39" s="54">
        <f>N38*0.18</f>
        <v>0</v>
      </c>
      <c r="O39" s="34">
        <f>O38*0.18</f>
        <v>1988.6014003576024</v>
      </c>
      <c r="P39" s="34">
        <f t="shared" ref="P39:Q39" si="25">P38*0.18</f>
        <v>7693.5387159138591</v>
      </c>
      <c r="Q39" s="34">
        <f t="shared" si="25"/>
        <v>2896.4819964468829</v>
      </c>
      <c r="R39" s="57">
        <f>N39+O39+P39+Q39</f>
        <v>12578.622112718343</v>
      </c>
    </row>
    <row r="40" spans="1:21" ht="32.25" customHeight="1" thickBot="1" x14ac:dyDescent="0.25">
      <c r="A40" s="32"/>
      <c r="B40" s="39" t="s">
        <v>19</v>
      </c>
      <c r="C40" s="47" t="s">
        <v>18</v>
      </c>
      <c r="D40" s="63">
        <f>D38+D39</f>
        <v>0</v>
      </c>
      <c r="E40" s="64">
        <f>E38+E39</f>
        <v>14384.757406129742</v>
      </c>
      <c r="F40" s="64">
        <f t="shared" ref="F40:G40" si="26">F38+F39</f>
        <v>52409.649381870404</v>
      </c>
      <c r="G40" s="64">
        <f t="shared" si="26"/>
        <v>20428.815880377591</v>
      </c>
      <c r="H40" s="65">
        <f>D40+E40+F40+G40</f>
        <v>87223.222668377726</v>
      </c>
      <c r="I40" s="63">
        <f>I38+I39</f>
        <v>0</v>
      </c>
      <c r="J40" s="64">
        <f>J38+J39</f>
        <v>2736.7092686278997</v>
      </c>
      <c r="K40" s="64">
        <f t="shared" ref="K40:L40" si="27">K38+K39</f>
        <v>12245.245182679999</v>
      </c>
      <c r="L40" s="64">
        <f t="shared" si="27"/>
        <v>1422.2875053785233</v>
      </c>
      <c r="M40" s="65">
        <f>I40+J40+K40+L40</f>
        <v>16404.241956686423</v>
      </c>
      <c r="N40" s="63">
        <f>N38+N39</f>
        <v>0</v>
      </c>
      <c r="O40" s="64">
        <f>O38+O39</f>
        <v>13036.386957899838</v>
      </c>
      <c r="P40" s="64">
        <f t="shared" ref="P40:Q40" si="28">P38+P39</f>
        <v>50435.420470990852</v>
      </c>
      <c r="Q40" s="64">
        <f t="shared" si="28"/>
        <v>18988.048643374012</v>
      </c>
      <c r="R40" s="65">
        <f>N40+O40+P40+Q40</f>
        <v>82459.856072264709</v>
      </c>
      <c r="T40" s="91"/>
    </row>
    <row r="41" spans="1:21" ht="9.75" customHeight="1" x14ac:dyDescent="0.2">
      <c r="A41" s="16" t="s">
        <v>19</v>
      </c>
      <c r="B41" s="164" t="s">
        <v>19</v>
      </c>
      <c r="C41" s="165"/>
      <c r="D41" s="166" t="s">
        <v>19</v>
      </c>
      <c r="E41" s="167"/>
      <c r="F41" s="168" t="s">
        <v>19</v>
      </c>
      <c r="G41" s="169"/>
      <c r="H41" s="169"/>
      <c r="I41" s="4"/>
      <c r="J41" s="4"/>
      <c r="K41" s="4"/>
      <c r="L41" s="4"/>
      <c r="M41" s="29"/>
    </row>
    <row r="42" spans="1:21" ht="20.25" customHeight="1" x14ac:dyDescent="0.25">
      <c r="A42" s="16"/>
      <c r="B42" s="116" t="s">
        <v>39</v>
      </c>
      <c r="C42" s="177" t="s">
        <v>71</v>
      </c>
      <c r="D42" s="177"/>
      <c r="E42" s="69"/>
      <c r="G42" s="97" t="s">
        <v>72</v>
      </c>
      <c r="H42" s="69"/>
      <c r="I42" s="69"/>
      <c r="J42" s="7"/>
      <c r="K42" s="7"/>
      <c r="L42" s="7"/>
      <c r="M42" s="7"/>
      <c r="N42" s="155"/>
      <c r="O42" s="155"/>
      <c r="P42" s="155"/>
      <c r="Q42" s="84"/>
      <c r="R42" s="83"/>
      <c r="T42" s="70"/>
    </row>
    <row r="43" spans="1:21" ht="20.25" customHeight="1" x14ac:dyDescent="0.2">
      <c r="A43" s="16"/>
      <c r="B43" s="117"/>
      <c r="C43" s="118"/>
      <c r="D43" s="118"/>
      <c r="E43" s="118"/>
      <c r="F43" s="118"/>
      <c r="G43" s="118"/>
      <c r="H43" s="118"/>
      <c r="I43" s="119"/>
      <c r="J43" s="7"/>
      <c r="K43" s="7"/>
      <c r="L43" s="176" t="s">
        <v>27</v>
      </c>
      <c r="M43" s="176"/>
      <c r="N43" s="155"/>
      <c r="O43" s="155"/>
      <c r="P43" s="155"/>
    </row>
    <row r="44" spans="1:21" ht="27.6" customHeight="1" x14ac:dyDescent="0.25">
      <c r="A44" s="16"/>
      <c r="B44" s="116" t="s">
        <v>40</v>
      </c>
      <c r="C44" s="177" t="s">
        <v>73</v>
      </c>
      <c r="D44" s="177"/>
      <c r="E44" s="69"/>
      <c r="G44" s="97" t="s">
        <v>74</v>
      </c>
      <c r="H44" s="69"/>
      <c r="I44" s="69"/>
      <c r="J44" s="6" t="s">
        <v>28</v>
      </c>
      <c r="K44" s="6"/>
      <c r="L44" s="176"/>
      <c r="M44" s="176"/>
      <c r="N44" s="155"/>
      <c r="O44" s="155"/>
      <c r="P44" s="155"/>
      <c r="T44" s="70"/>
    </row>
    <row r="45" spans="1:21" ht="26.45" customHeight="1" x14ac:dyDescent="0.2">
      <c r="B45" s="120"/>
      <c r="C45" s="176"/>
      <c r="D45" s="176"/>
      <c r="E45" s="176"/>
      <c r="F45" s="176"/>
      <c r="G45" s="176"/>
      <c r="H45" s="112"/>
      <c r="I45" s="112"/>
      <c r="J45" s="111" t="s">
        <v>29</v>
      </c>
      <c r="K45" s="111"/>
      <c r="L45" s="111"/>
      <c r="M45" s="111"/>
      <c r="N45" s="102"/>
      <c r="O45" s="102"/>
      <c r="P45" s="102"/>
    </row>
    <row r="46" spans="1:21" ht="28.15" customHeight="1" x14ac:dyDescent="0.25">
      <c r="G46" s="112"/>
      <c r="H46" s="112"/>
      <c r="I46" s="112"/>
      <c r="J46" s="121"/>
      <c r="K46" s="104"/>
      <c r="L46" s="179" t="s">
        <v>75</v>
      </c>
      <c r="M46" s="179"/>
      <c r="N46" s="97" t="s">
        <v>76</v>
      </c>
      <c r="O46" s="97"/>
      <c r="P46" s="97"/>
    </row>
    <row r="47" spans="1:21" ht="25.9" customHeight="1" x14ac:dyDescent="0.25">
      <c r="B47" s="111" t="s">
        <v>27</v>
      </c>
      <c r="C47" s="111"/>
      <c r="D47" s="111"/>
      <c r="E47" s="111"/>
      <c r="F47" s="111"/>
      <c r="G47" s="107"/>
      <c r="H47" s="107"/>
      <c r="I47" s="107"/>
      <c r="J47" s="179" t="s">
        <v>77</v>
      </c>
      <c r="K47" s="179"/>
      <c r="L47" s="179"/>
      <c r="M47" s="179"/>
      <c r="N47" s="155"/>
      <c r="O47" s="155"/>
      <c r="P47" s="155"/>
      <c r="R47" s="2"/>
    </row>
    <row r="48" spans="1:21" ht="36" customHeight="1" x14ac:dyDescent="0.25">
      <c r="B48" s="173" t="s">
        <v>44</v>
      </c>
      <c r="C48" s="173"/>
      <c r="D48" s="173"/>
      <c r="E48" s="173"/>
      <c r="F48" s="97" t="s">
        <v>78</v>
      </c>
      <c r="G48" s="106"/>
      <c r="H48" s="10"/>
      <c r="I48" s="107"/>
      <c r="J48" s="121"/>
      <c r="K48" s="108"/>
      <c r="L48" s="108"/>
      <c r="M48" s="108"/>
      <c r="N48" s="155"/>
      <c r="O48" s="155"/>
      <c r="P48" s="155"/>
      <c r="R48" s="8"/>
    </row>
    <row r="49" spans="2:10" ht="15.75" x14ac:dyDescent="0.25">
      <c r="B49" s="10"/>
      <c r="C49" s="10"/>
      <c r="D49" s="10"/>
      <c r="E49" s="10"/>
      <c r="F49" s="10"/>
      <c r="I49" s="121"/>
      <c r="J49" s="121"/>
    </row>
    <row r="50" spans="2:10" ht="15.75" x14ac:dyDescent="0.25">
      <c r="B50" s="10"/>
      <c r="C50" s="10"/>
      <c r="D50" s="10"/>
      <c r="E50" s="10"/>
      <c r="F50" s="10"/>
      <c r="J50" s="121"/>
    </row>
    <row r="51" spans="2:10" ht="15" x14ac:dyDescent="0.25">
      <c r="B51" s="111" t="s">
        <v>27</v>
      </c>
      <c r="C51" s="111"/>
      <c r="D51" s="111"/>
      <c r="E51" s="111"/>
      <c r="F51" s="111"/>
      <c r="G51" s="121"/>
      <c r="H51" s="121"/>
      <c r="I51" s="121"/>
      <c r="J51" s="121"/>
    </row>
    <row r="52" spans="2:10" ht="32.25" customHeight="1" x14ac:dyDescent="0.25">
      <c r="B52" s="174" t="s">
        <v>45</v>
      </c>
      <c r="C52" s="174"/>
      <c r="D52" s="174"/>
      <c r="E52" s="174"/>
      <c r="F52" s="97" t="s">
        <v>79</v>
      </c>
      <c r="G52" s="106"/>
      <c r="I52" s="110"/>
      <c r="J52" s="121"/>
    </row>
    <row r="53" spans="2:10" ht="15" x14ac:dyDescent="0.25">
      <c r="B53" s="178"/>
      <c r="C53" s="178"/>
      <c r="D53" s="178"/>
      <c r="E53" s="178"/>
      <c r="F53" s="178"/>
      <c r="G53" s="121"/>
      <c r="I53" s="121"/>
      <c r="J53" s="121"/>
    </row>
  </sheetData>
  <mergeCells count="35">
    <mergeCell ref="B53:F53"/>
    <mergeCell ref="L46:M46"/>
    <mergeCell ref="J47:M47"/>
    <mergeCell ref="N47:P47"/>
    <mergeCell ref="B48:E48"/>
    <mergeCell ref="N48:P48"/>
    <mergeCell ref="B52:E52"/>
    <mergeCell ref="L43:M43"/>
    <mergeCell ref="N43:P43"/>
    <mergeCell ref="C44:D44"/>
    <mergeCell ref="L44:M44"/>
    <mergeCell ref="N44:P44"/>
    <mergeCell ref="C45:G45"/>
    <mergeCell ref="A33:C33"/>
    <mergeCell ref="B41:C41"/>
    <mergeCell ref="D41:E41"/>
    <mergeCell ref="F41:H41"/>
    <mergeCell ref="C42:D42"/>
    <mergeCell ref="N42:P42"/>
    <mergeCell ref="A8:C8"/>
    <mergeCell ref="A11:C11"/>
    <mergeCell ref="A17:C17"/>
    <mergeCell ref="A21:C21"/>
    <mergeCell ref="A25:C25"/>
    <mergeCell ref="A29:C29"/>
    <mergeCell ref="B2:M2"/>
    <mergeCell ref="P2:R2"/>
    <mergeCell ref="A3:H3"/>
    <mergeCell ref="P3:R3"/>
    <mergeCell ref="A5:A6"/>
    <mergeCell ref="B5:B6"/>
    <mergeCell ref="C5:C6"/>
    <mergeCell ref="D5:H5"/>
    <mergeCell ref="I5:M5"/>
    <mergeCell ref="N5:R5"/>
  </mergeCells>
  <conditionalFormatting sqref="G44 G42 F52 H48 B48 B52 F48 N46:P46">
    <cfRule type="cellIs" dxfId="8" priority="1" operator="equal">
      <formula>0</formula>
    </cfRule>
  </conditionalFormatting>
  <pageMargins left="0.55118110236220474" right="0.35433070866141736" top="0.15748031496062992" bottom="0.15748031496062992" header="0.51181102362204722" footer="7.874015748031496E-2"/>
  <pageSetup paperSize="8" scale="78" orientation="landscape" r:id="rId1"/>
  <headerFooter alignWithMargins="0">
    <oddFooter>Страница  &amp;P из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zoomScale="80" zoomScaleNormal="80" zoomScaleSheetLayoutView="70" workbookViewId="0">
      <pane xSplit="3" ySplit="7" topLeftCell="D26" activePane="bottomRight" state="frozen"/>
      <selection pane="topRight" activeCell="D1" sqref="D1"/>
      <selection pane="bottomLeft" activeCell="A10" sqref="A10"/>
      <selection pane="bottomRight" activeCell="I5" sqref="I5:M5"/>
    </sheetView>
  </sheetViews>
  <sheetFormatPr defaultRowHeight="12.75" x14ac:dyDescent="0.2"/>
  <cols>
    <col min="1" max="1" width="5.140625" style="12" customWidth="1"/>
    <col min="2" max="2" width="22" style="1" customWidth="1"/>
    <col min="3" max="3" width="44.7109375" style="1" customWidth="1"/>
    <col min="4" max="8" width="10.42578125" style="1" customWidth="1"/>
    <col min="9" max="13" width="10.42578125" style="5" customWidth="1"/>
    <col min="14" max="17" width="10.42578125" style="1" customWidth="1"/>
    <col min="18" max="18" width="12.7109375" style="1" customWidth="1"/>
    <col min="19" max="19" width="14.140625" style="1" customWidth="1"/>
    <col min="20" max="20" width="20.85546875" style="1" customWidth="1"/>
    <col min="21" max="21" width="17.140625" style="1" customWidth="1"/>
    <col min="22" max="22" width="12.5703125" style="1" customWidth="1"/>
    <col min="23" max="16384" width="9.140625" style="1"/>
  </cols>
  <sheetData>
    <row r="1" spans="1:22" ht="15" x14ac:dyDescent="0.25">
      <c r="A1" s="11"/>
      <c r="B1"/>
      <c r="C1" s="9"/>
      <c r="D1" s="9"/>
      <c r="E1" s="9"/>
      <c r="F1" s="9"/>
      <c r="G1" s="9"/>
      <c r="H1" s="9"/>
      <c r="I1" s="86"/>
      <c r="J1" s="86"/>
      <c r="K1" s="86"/>
      <c r="L1" s="86"/>
      <c r="M1" s="86"/>
      <c r="N1" s="111"/>
      <c r="O1" s="93"/>
      <c r="Q1" s="93"/>
      <c r="R1" s="112" t="s">
        <v>58</v>
      </c>
    </row>
    <row r="2" spans="1:22" ht="53.25" customHeight="1" x14ac:dyDescent="0.25">
      <c r="A2" s="85"/>
      <c r="B2" s="135" t="s">
        <v>108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85"/>
      <c r="O2" s="85"/>
      <c r="P2" s="175" t="s">
        <v>59</v>
      </c>
      <c r="Q2" s="175"/>
      <c r="R2" s="175"/>
    </row>
    <row r="3" spans="1:22" ht="54" customHeight="1" x14ac:dyDescent="0.25">
      <c r="A3" s="137"/>
      <c r="B3" s="138"/>
      <c r="C3" s="138"/>
      <c r="D3" s="138"/>
      <c r="E3" s="138"/>
      <c r="F3" s="138"/>
      <c r="G3" s="138"/>
      <c r="H3" s="138"/>
      <c r="I3" s="3"/>
      <c r="J3" s="3"/>
      <c r="K3" s="3"/>
      <c r="L3" s="3"/>
      <c r="M3" s="3"/>
      <c r="P3" s="139" t="s">
        <v>60</v>
      </c>
      <c r="Q3" s="139"/>
      <c r="R3" s="139"/>
    </row>
    <row r="4" spans="1:22" ht="23.25" customHeight="1" thickBot="1" x14ac:dyDescent="0.25">
      <c r="A4" s="89"/>
      <c r="B4" s="90"/>
      <c r="C4" s="90"/>
      <c r="D4" s="90"/>
      <c r="E4" s="90"/>
      <c r="F4" s="90"/>
      <c r="G4" s="90"/>
      <c r="H4" s="90"/>
      <c r="I4" s="3"/>
      <c r="J4" s="3"/>
      <c r="K4" s="3"/>
      <c r="L4" s="3"/>
      <c r="M4" s="3"/>
      <c r="P4" s="95"/>
      <c r="Q4" s="95"/>
      <c r="R4" s="95"/>
    </row>
    <row r="5" spans="1:22" ht="81.599999999999994" customHeight="1" thickBot="1" x14ac:dyDescent="0.25">
      <c r="A5" s="140" t="s">
        <v>20</v>
      </c>
      <c r="B5" s="142" t="s">
        <v>6</v>
      </c>
      <c r="C5" s="144" t="s">
        <v>7</v>
      </c>
      <c r="D5" s="146" t="str">
        <f>'(2018)'!D5:H5</f>
        <v>БЛОК 1
Укрупненная сметная стоимость 
(в ценах 2 кв. 2017 г.)</v>
      </c>
      <c r="E5" s="147"/>
      <c r="F5" s="147"/>
      <c r="G5" s="147"/>
      <c r="H5" s="148"/>
      <c r="I5" s="149" t="str">
        <f>'(2018)'!I5:M5</f>
        <v>БЛОК 2
Укрупненная сметная стоимость 
в ценах на 01.01.2000 года</v>
      </c>
      <c r="J5" s="150"/>
      <c r="K5" s="150"/>
      <c r="L5" s="150"/>
      <c r="M5" s="151"/>
      <c r="N5" s="152" t="s">
        <v>86</v>
      </c>
      <c r="O5" s="153"/>
      <c r="P5" s="153"/>
      <c r="Q5" s="153"/>
      <c r="R5" s="154"/>
      <c r="T5" s="70"/>
      <c r="V5" s="113"/>
    </row>
    <row r="6" spans="1:22" ht="51.75" customHeight="1" thickBot="1" x14ac:dyDescent="0.25">
      <c r="A6" s="141"/>
      <c r="B6" s="143"/>
      <c r="C6" s="145"/>
      <c r="D6" s="13" t="s">
        <v>0</v>
      </c>
      <c r="E6" s="14" t="s">
        <v>1</v>
      </c>
      <c r="F6" s="14" t="s">
        <v>2</v>
      </c>
      <c r="G6" s="15" t="s">
        <v>3</v>
      </c>
      <c r="H6" s="41" t="s">
        <v>8</v>
      </c>
      <c r="I6" s="42" t="s">
        <v>0</v>
      </c>
      <c r="J6" s="43" t="s">
        <v>1</v>
      </c>
      <c r="K6" s="43" t="s">
        <v>2</v>
      </c>
      <c r="L6" s="44" t="s">
        <v>3</v>
      </c>
      <c r="M6" s="45" t="s">
        <v>8</v>
      </c>
      <c r="N6" s="42" t="s">
        <v>0</v>
      </c>
      <c r="O6" s="43" t="s">
        <v>1</v>
      </c>
      <c r="P6" s="43" t="s">
        <v>2</v>
      </c>
      <c r="Q6" s="44" t="s">
        <v>3</v>
      </c>
      <c r="R6" s="46" t="s">
        <v>8</v>
      </c>
    </row>
    <row r="7" spans="1:22" ht="14.25" customHeight="1" x14ac:dyDescent="0.2">
      <c r="A7" s="18">
        <v>1</v>
      </c>
      <c r="B7" s="19">
        <v>2</v>
      </c>
      <c r="C7" s="20">
        <v>3</v>
      </c>
      <c r="D7" s="21">
        <v>4</v>
      </c>
      <c r="E7" s="22">
        <v>5</v>
      </c>
      <c r="F7" s="22">
        <v>6</v>
      </c>
      <c r="G7" s="23">
        <v>7</v>
      </c>
      <c r="H7" s="24">
        <v>8</v>
      </c>
      <c r="I7" s="25">
        <v>9</v>
      </c>
      <c r="J7" s="26">
        <v>10</v>
      </c>
      <c r="K7" s="26">
        <v>11</v>
      </c>
      <c r="L7" s="27">
        <v>12</v>
      </c>
      <c r="M7" s="28">
        <v>13</v>
      </c>
      <c r="N7" s="25">
        <v>32</v>
      </c>
      <c r="O7" s="26">
        <v>33</v>
      </c>
      <c r="P7" s="26">
        <v>34</v>
      </c>
      <c r="Q7" s="27">
        <v>35</v>
      </c>
      <c r="R7" s="28">
        <v>36</v>
      </c>
    </row>
    <row r="8" spans="1:22" ht="14.25" hidden="1" customHeight="1" x14ac:dyDescent="0.2">
      <c r="A8" s="156" t="s">
        <v>36</v>
      </c>
      <c r="B8" s="157"/>
      <c r="C8" s="158"/>
      <c r="D8" s="50"/>
      <c r="E8" s="87"/>
      <c r="F8" s="87"/>
      <c r="G8" s="87"/>
      <c r="H8" s="51"/>
      <c r="I8" s="50"/>
      <c r="J8" s="87"/>
      <c r="K8" s="87"/>
      <c r="L8" s="87"/>
      <c r="M8" s="51"/>
      <c r="N8" s="66"/>
      <c r="O8" s="30"/>
      <c r="P8" s="30"/>
      <c r="Q8" s="30"/>
      <c r="R8" s="67"/>
    </row>
    <row r="9" spans="1:22" ht="39.75" hidden="1" customHeight="1" x14ac:dyDescent="0.2">
      <c r="A9" s="72"/>
      <c r="B9" s="73"/>
      <c r="C9" s="74"/>
      <c r="D9" s="52">
        <f>I9*6.42</f>
        <v>0</v>
      </c>
      <c r="E9" s="31"/>
      <c r="F9" s="31"/>
      <c r="G9" s="31"/>
      <c r="H9" s="53">
        <f>SUM(D9:G9)</f>
        <v>0</v>
      </c>
      <c r="I9" s="52"/>
      <c r="J9" s="31"/>
      <c r="K9" s="31"/>
      <c r="L9" s="31"/>
      <c r="M9" s="53">
        <f>SUM(I9:L9)</f>
        <v>0</v>
      </c>
      <c r="N9" s="52">
        <f>I9*6.35</f>
        <v>0</v>
      </c>
      <c r="O9" s="31"/>
      <c r="P9" s="31"/>
      <c r="Q9" s="31"/>
      <c r="R9" s="53">
        <f>N9+O9+P9+Q9</f>
        <v>0</v>
      </c>
    </row>
    <row r="10" spans="1:22" ht="14.25" hidden="1" customHeight="1" x14ac:dyDescent="0.2">
      <c r="A10" s="75"/>
      <c r="B10" s="76" t="s">
        <v>19</v>
      </c>
      <c r="C10" s="77" t="s">
        <v>34</v>
      </c>
      <c r="D10" s="54">
        <f t="shared" ref="D10:Q10" si="0">D9</f>
        <v>0</v>
      </c>
      <c r="E10" s="34">
        <f t="shared" si="0"/>
        <v>0</v>
      </c>
      <c r="F10" s="34">
        <f t="shared" si="0"/>
        <v>0</v>
      </c>
      <c r="G10" s="34">
        <f t="shared" si="0"/>
        <v>0</v>
      </c>
      <c r="H10" s="53">
        <f>SUM(D10:G10)</f>
        <v>0</v>
      </c>
      <c r="I10" s="54">
        <f t="shared" si="0"/>
        <v>0</v>
      </c>
      <c r="J10" s="34">
        <f>J9</f>
        <v>0</v>
      </c>
      <c r="K10" s="34">
        <f t="shared" si="0"/>
        <v>0</v>
      </c>
      <c r="L10" s="34">
        <f t="shared" si="0"/>
        <v>0</v>
      </c>
      <c r="M10" s="53">
        <f>SUM(I10:L10)</f>
        <v>0</v>
      </c>
      <c r="N10" s="5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53">
        <f>SUM(N10:Q10)</f>
        <v>0</v>
      </c>
    </row>
    <row r="11" spans="1:22" ht="16.5" customHeight="1" x14ac:dyDescent="0.2">
      <c r="A11" s="159" t="s">
        <v>9</v>
      </c>
      <c r="B11" s="157"/>
      <c r="C11" s="158"/>
      <c r="D11" s="50"/>
      <c r="E11" s="87"/>
      <c r="F11" s="87"/>
      <c r="G11" s="87"/>
      <c r="H11" s="53"/>
      <c r="I11" s="50"/>
      <c r="J11" s="88"/>
      <c r="K11" s="88"/>
      <c r="L11" s="87"/>
      <c r="M11" s="51"/>
      <c r="N11" s="50"/>
      <c r="O11" s="87"/>
      <c r="P11" s="87"/>
      <c r="Q11" s="87"/>
      <c r="R11" s="51"/>
      <c r="T11" s="12" t="s">
        <v>87</v>
      </c>
    </row>
    <row r="12" spans="1:22" ht="53.25" customHeight="1" x14ac:dyDescent="0.2">
      <c r="A12" s="72">
        <v>1</v>
      </c>
      <c r="B12" s="73" t="s">
        <v>42</v>
      </c>
      <c r="C12" s="74" t="s">
        <v>88</v>
      </c>
      <c r="D12" s="52">
        <v>0</v>
      </c>
      <c r="E12" s="31">
        <f>J12*4.9*1.003</f>
        <v>5129.0517899739998</v>
      </c>
      <c r="F12" s="31">
        <f>K12*4.28</f>
        <v>19491.513759999998</v>
      </c>
      <c r="G12" s="31"/>
      <c r="H12" s="53">
        <f t="shared" ref="H12:H14" si="1">SUM(D12:G12)</f>
        <v>24620.565549973999</v>
      </c>
      <c r="I12" s="80"/>
      <c r="J12" s="31">
        <f>0.38453*T12</f>
        <v>1043.6144199999999</v>
      </c>
      <c r="K12" s="31">
        <f>1.678*T12</f>
        <v>4554.0919999999996</v>
      </c>
      <c r="L12" s="31"/>
      <c r="M12" s="53">
        <f>SUM(I12:L12)</f>
        <v>5597.7064199999995</v>
      </c>
      <c r="N12" s="80"/>
      <c r="O12" s="31">
        <f>J12*4.21*1.003</f>
        <v>4406.7975583245989</v>
      </c>
      <c r="P12" s="31">
        <f>K12*3.82</f>
        <v>17396.631439999997</v>
      </c>
      <c r="Q12" s="31"/>
      <c r="R12" s="53">
        <f>SUM(N12:Q12)</f>
        <v>21803.428998324598</v>
      </c>
      <c r="T12" s="12">
        <v>2714</v>
      </c>
    </row>
    <row r="13" spans="1:22" ht="54" customHeight="1" x14ac:dyDescent="0.2">
      <c r="A13" s="72">
        <v>2</v>
      </c>
      <c r="B13" s="73" t="s">
        <v>63</v>
      </c>
      <c r="C13" s="74" t="s">
        <v>89</v>
      </c>
      <c r="D13" s="52"/>
      <c r="E13" s="31">
        <f>J13*4.9*1.003</f>
        <v>2186.2230058619998</v>
      </c>
      <c r="F13" s="31">
        <f t="shared" ref="F13:F14" si="2">K13*4.28</f>
        <v>10228.600800000002</v>
      </c>
      <c r="G13" s="31"/>
      <c r="H13" s="53">
        <f t="shared" si="1"/>
        <v>12414.823805862001</v>
      </c>
      <c r="I13" s="80"/>
      <c r="J13" s="31">
        <f>0.69614*T13</f>
        <v>444.83346</v>
      </c>
      <c r="K13" s="31">
        <f>3.74*T13</f>
        <v>2389.86</v>
      </c>
      <c r="L13" s="31"/>
      <c r="M13" s="53">
        <f>SUM(I13:L13)</f>
        <v>2834.69346</v>
      </c>
      <c r="N13" s="80"/>
      <c r="O13" s="31">
        <f>J13*4.21*1.003</f>
        <v>1878.3671131997996</v>
      </c>
      <c r="P13" s="31">
        <f>K13*3.82</f>
        <v>9129.2651999999998</v>
      </c>
      <c r="Q13" s="31"/>
      <c r="R13" s="53">
        <f>SUM(N13:Q13)</f>
        <v>11007.6323131998</v>
      </c>
      <c r="T13" s="12">
        <v>639</v>
      </c>
    </row>
    <row r="14" spans="1:22" ht="54" customHeight="1" x14ac:dyDescent="0.2">
      <c r="A14" s="72">
        <v>3</v>
      </c>
      <c r="B14" s="73" t="s">
        <v>65</v>
      </c>
      <c r="C14" s="74" t="s">
        <v>90</v>
      </c>
      <c r="D14" s="52"/>
      <c r="E14" s="31">
        <f>J14*7.29*1.003</f>
        <v>1874.5607098449</v>
      </c>
      <c r="F14" s="31">
        <f t="shared" si="2"/>
        <v>4385.224228</v>
      </c>
      <c r="G14" s="31"/>
      <c r="H14" s="53">
        <f t="shared" si="1"/>
        <v>6259.7849378449</v>
      </c>
      <c r="I14" s="80"/>
      <c r="J14" s="31">
        <f>3.32951*T14</f>
        <v>256.37227000000001</v>
      </c>
      <c r="K14" s="31">
        <f>13.3063*T14</f>
        <v>1024.5851</v>
      </c>
      <c r="L14" s="31"/>
      <c r="M14" s="53">
        <f>SUM(I14:L14)</f>
        <v>1280.9573700000001</v>
      </c>
      <c r="N14" s="80"/>
      <c r="O14" s="31">
        <f>J14*6.35*1.003</f>
        <v>1632.8478062434999</v>
      </c>
      <c r="P14" s="31">
        <f t="shared" ref="P14" si="3">K14*3.82</f>
        <v>3913.915082</v>
      </c>
      <c r="Q14" s="31"/>
      <c r="R14" s="53">
        <f>SUM(N14:Q14)</f>
        <v>5546.7628882435001</v>
      </c>
      <c r="T14" s="12">
        <v>77</v>
      </c>
    </row>
    <row r="15" spans="1:22" ht="25.5" customHeight="1" x14ac:dyDescent="0.2">
      <c r="A15" s="75"/>
      <c r="B15" s="76" t="s">
        <v>19</v>
      </c>
      <c r="C15" s="77" t="s">
        <v>10</v>
      </c>
      <c r="D15" s="54">
        <f>SUM(D12:D14)</f>
        <v>0</v>
      </c>
      <c r="E15" s="34">
        <f>SUM(E12:E14)</f>
        <v>9189.8355056808996</v>
      </c>
      <c r="F15" s="34">
        <f t="shared" ref="F15:G15" si="4">SUM(F12:F14)</f>
        <v>34105.338788000001</v>
      </c>
      <c r="G15" s="34">
        <f t="shared" si="4"/>
        <v>0</v>
      </c>
      <c r="H15" s="53">
        <f>SUM(D15:G15)</f>
        <v>43295.174293680902</v>
      </c>
      <c r="I15" s="54">
        <f>SUM(I12:I14)</f>
        <v>0</v>
      </c>
      <c r="J15" s="34">
        <f>SUM(J12:J14)</f>
        <v>1744.82015</v>
      </c>
      <c r="K15" s="34">
        <f>SUM(K12:K14)</f>
        <v>7968.5370999999996</v>
      </c>
      <c r="L15" s="34">
        <f t="shared" ref="L15" si="5">SUM(L12:L14)</f>
        <v>0</v>
      </c>
      <c r="M15" s="53">
        <f>SUM(I15:L15)</f>
        <v>9713.3572499999991</v>
      </c>
      <c r="N15" s="81">
        <f>N12+N14</f>
        <v>0</v>
      </c>
      <c r="O15" s="34">
        <f>SUM(O12:O14)</f>
        <v>7918.0124777678984</v>
      </c>
      <c r="P15" s="34">
        <f>SUM(P12:P14)</f>
        <v>30439.811721999999</v>
      </c>
      <c r="Q15" s="34">
        <f t="shared" ref="Q15" si="6">Q12+Q14</f>
        <v>0</v>
      </c>
      <c r="R15" s="53">
        <f>SUM(N15:Q15)</f>
        <v>38357.8241997679</v>
      </c>
    </row>
    <row r="16" spans="1:22" ht="21" customHeight="1" x14ac:dyDescent="0.2">
      <c r="A16" s="75"/>
      <c r="B16" s="76"/>
      <c r="C16" s="78" t="s">
        <v>37</v>
      </c>
      <c r="D16" s="54">
        <f>D15+D10</f>
        <v>0</v>
      </c>
      <c r="E16" s="34">
        <f>E15+E10</f>
        <v>9189.8355056808996</v>
      </c>
      <c r="F16" s="34">
        <f t="shared" ref="F16:G16" si="7">F15+F10</f>
        <v>34105.338788000001</v>
      </c>
      <c r="G16" s="34">
        <f t="shared" si="7"/>
        <v>0</v>
      </c>
      <c r="H16" s="53">
        <f>SUM(D16:G16)</f>
        <v>43295.174293680902</v>
      </c>
      <c r="I16" s="54">
        <f>I15+I10</f>
        <v>0</v>
      </c>
      <c r="J16" s="34">
        <f>J15+J10</f>
        <v>1744.82015</v>
      </c>
      <c r="K16" s="34">
        <f t="shared" ref="K16:L16" si="8">K15+K10</f>
        <v>7968.5370999999996</v>
      </c>
      <c r="L16" s="34">
        <f t="shared" si="8"/>
        <v>0</v>
      </c>
      <c r="M16" s="53">
        <f>SUM(I16:L16)</f>
        <v>9713.3572499999991</v>
      </c>
      <c r="N16" s="81">
        <f>N15+N10</f>
        <v>0</v>
      </c>
      <c r="O16" s="34">
        <f>O15+O10</f>
        <v>7918.0124777678984</v>
      </c>
      <c r="P16" s="34">
        <f t="shared" ref="P16:Q16" si="9">P15+P10</f>
        <v>30439.811721999999</v>
      </c>
      <c r="Q16" s="34">
        <f t="shared" si="9"/>
        <v>0</v>
      </c>
      <c r="R16" s="53">
        <f>SUM(N16:Q16)</f>
        <v>38357.8241997679</v>
      </c>
      <c r="T16" s="84">
        <f>R38</f>
        <v>60000.002000533677</v>
      </c>
    </row>
    <row r="17" spans="1:21" ht="15.75" customHeight="1" x14ac:dyDescent="0.2">
      <c r="A17" s="159" t="s">
        <v>25</v>
      </c>
      <c r="B17" s="157"/>
      <c r="C17" s="158"/>
      <c r="D17" s="55"/>
      <c r="E17" s="35"/>
      <c r="F17" s="35"/>
      <c r="G17" s="35"/>
      <c r="H17" s="56"/>
      <c r="I17" s="82"/>
      <c r="J17" s="35"/>
      <c r="K17" s="35"/>
      <c r="L17" s="35"/>
      <c r="M17" s="56"/>
      <c r="N17" s="82"/>
      <c r="O17" s="35"/>
      <c r="P17" s="35"/>
      <c r="Q17" s="35"/>
      <c r="R17" s="56"/>
    </row>
    <row r="18" spans="1:21" ht="34.5" customHeight="1" x14ac:dyDescent="0.2">
      <c r="A18" s="72">
        <v>3</v>
      </c>
      <c r="B18" s="73" t="s">
        <v>31</v>
      </c>
      <c r="C18" s="74" t="s">
        <v>67</v>
      </c>
      <c r="D18" s="52">
        <f>D16*3.12%</f>
        <v>0</v>
      </c>
      <c r="E18" s="31">
        <f>E16*2.5%</f>
        <v>229.7458876420225</v>
      </c>
      <c r="F18" s="31"/>
      <c r="G18" s="31"/>
      <c r="H18" s="53">
        <f>SUM(D18:G18)</f>
        <v>229.7458876420225</v>
      </c>
      <c r="I18" s="80">
        <f>I16*3.12%</f>
        <v>0</v>
      </c>
      <c r="J18" s="31">
        <f>J16*2.5%</f>
        <v>43.620503750000005</v>
      </c>
      <c r="K18" s="31"/>
      <c r="L18" s="31"/>
      <c r="M18" s="53">
        <f>SUM(I18:L18)</f>
        <v>43.620503750000005</v>
      </c>
      <c r="N18" s="80">
        <f>N16*3.12%</f>
        <v>0</v>
      </c>
      <c r="O18" s="31"/>
      <c r="P18" s="31"/>
      <c r="Q18" s="31"/>
      <c r="R18" s="53">
        <f>SUM(N18:Q18)</f>
        <v>0</v>
      </c>
    </row>
    <row r="19" spans="1:21" ht="14.25" customHeight="1" x14ac:dyDescent="0.2">
      <c r="A19" s="75"/>
      <c r="B19" s="76" t="s">
        <v>19</v>
      </c>
      <c r="C19" s="77" t="s">
        <v>26</v>
      </c>
      <c r="D19" s="54">
        <f>D18</f>
        <v>0</v>
      </c>
      <c r="E19" s="34">
        <f>E18</f>
        <v>229.7458876420225</v>
      </c>
      <c r="F19" s="34"/>
      <c r="G19" s="34"/>
      <c r="H19" s="53">
        <f>SUM(D19:G19)</f>
        <v>229.7458876420225</v>
      </c>
      <c r="I19" s="81">
        <f>I18</f>
        <v>0</v>
      </c>
      <c r="J19" s="34">
        <f>J18</f>
        <v>43.620503750000005</v>
      </c>
      <c r="K19" s="34"/>
      <c r="L19" s="34"/>
      <c r="M19" s="53">
        <f>SUM(I19:L19)</f>
        <v>43.620503750000005</v>
      </c>
      <c r="N19" s="54">
        <f>N18</f>
        <v>0</v>
      </c>
      <c r="O19" s="34">
        <f>O18</f>
        <v>0</v>
      </c>
      <c r="P19" s="34"/>
      <c r="Q19" s="34"/>
      <c r="R19" s="53">
        <f>SUM(N19:Q19)</f>
        <v>0</v>
      </c>
      <c r="T19" s="122"/>
    </row>
    <row r="20" spans="1:21" ht="14.25" customHeight="1" x14ac:dyDescent="0.2">
      <c r="A20" s="75"/>
      <c r="B20" s="76"/>
      <c r="C20" s="78" t="s">
        <v>38</v>
      </c>
      <c r="D20" s="54">
        <f>D16+D19</f>
        <v>0</v>
      </c>
      <c r="E20" s="34">
        <f>E16+E19</f>
        <v>9419.5813933229219</v>
      </c>
      <c r="F20" s="34">
        <f t="shared" ref="F20:G20" si="10">F16+F19</f>
        <v>34105.338788000001</v>
      </c>
      <c r="G20" s="34">
        <f t="shared" si="10"/>
        <v>0</v>
      </c>
      <c r="H20" s="53">
        <f>SUM(D20:G20)</f>
        <v>43524.920181322923</v>
      </c>
      <c r="I20" s="81">
        <f>I16+I19</f>
        <v>0</v>
      </c>
      <c r="J20" s="34">
        <f>J16+J19</f>
        <v>1788.4406537499999</v>
      </c>
      <c r="K20" s="34">
        <f t="shared" ref="K20:L20" si="11">K16+K19</f>
        <v>7968.5370999999996</v>
      </c>
      <c r="L20" s="34">
        <f t="shared" si="11"/>
        <v>0</v>
      </c>
      <c r="M20" s="53">
        <f>SUM(I20:L20)</f>
        <v>9756.9777537499995</v>
      </c>
      <c r="N20" s="54">
        <f>N16+N19</f>
        <v>0</v>
      </c>
      <c r="O20" s="34">
        <f>O16+O19</f>
        <v>7918.0124777678984</v>
      </c>
      <c r="P20" s="34">
        <f t="shared" ref="P20:Q20" si="12">P16+P19</f>
        <v>30439.811721999999</v>
      </c>
      <c r="Q20" s="34">
        <f t="shared" si="12"/>
        <v>0</v>
      </c>
      <c r="R20" s="53">
        <f>SUM(N20:Q20)</f>
        <v>38357.8241997679</v>
      </c>
      <c r="T20" s="122"/>
    </row>
    <row r="21" spans="1:21" ht="15.75" customHeight="1" x14ac:dyDescent="0.2">
      <c r="A21" s="159" t="s">
        <v>11</v>
      </c>
      <c r="B21" s="157"/>
      <c r="C21" s="158"/>
      <c r="D21" s="55"/>
      <c r="E21" s="35"/>
      <c r="F21" s="35"/>
      <c r="G21" s="35"/>
      <c r="H21" s="56"/>
      <c r="I21" s="55"/>
      <c r="J21" s="35"/>
      <c r="K21" s="35"/>
      <c r="L21" s="35"/>
      <c r="M21" s="56"/>
      <c r="N21" s="55"/>
      <c r="O21" s="35"/>
      <c r="P21" s="35"/>
      <c r="Q21" s="35"/>
      <c r="R21" s="56"/>
    </row>
    <row r="22" spans="1:21" ht="15" x14ac:dyDescent="0.2">
      <c r="A22" s="75">
        <v>4</v>
      </c>
      <c r="B22" s="73" t="s">
        <v>42</v>
      </c>
      <c r="C22" s="74" t="s">
        <v>43</v>
      </c>
      <c r="D22" s="54">
        <f>D20*4.73%</f>
        <v>0</v>
      </c>
      <c r="E22" s="34">
        <v>0</v>
      </c>
      <c r="F22" s="34"/>
      <c r="G22" s="34">
        <f>L22*14.66*1.003</f>
        <v>13725.635986719999</v>
      </c>
      <c r="H22" s="57">
        <f>SUM(D22:G22)</f>
        <v>13725.635986719999</v>
      </c>
      <c r="I22" s="54"/>
      <c r="J22" s="34"/>
      <c r="K22" s="34"/>
      <c r="L22" s="34">
        <f>0.10074*T12+0.10074*T13+7.73614*T14</f>
        <v>933.46399999999994</v>
      </c>
      <c r="M22" s="57">
        <f>SUM(I22:L22)</f>
        <v>933.46399999999994</v>
      </c>
      <c r="N22" s="54">
        <f>N20*4.73%</f>
        <v>0</v>
      </c>
      <c r="O22" s="34"/>
      <c r="P22" s="34"/>
      <c r="Q22" s="34">
        <f>L22*12.66</f>
        <v>11817.65424</v>
      </c>
      <c r="R22" s="57">
        <f>SUM(N22:Q22)</f>
        <v>11817.65424</v>
      </c>
    </row>
    <row r="23" spans="1:21" ht="14.25" customHeight="1" x14ac:dyDescent="0.2">
      <c r="A23" s="79"/>
      <c r="B23" s="76" t="s">
        <v>19</v>
      </c>
      <c r="C23" s="77" t="s">
        <v>12</v>
      </c>
      <c r="D23" s="54">
        <f>SUM(D22:D22)</f>
        <v>0</v>
      </c>
      <c r="E23" s="34">
        <f>SUM(E22:E22)</f>
        <v>0</v>
      </c>
      <c r="F23" s="34">
        <f>SUM(F22:F22)</f>
        <v>0</v>
      </c>
      <c r="G23" s="34">
        <f>SUM(G22:G22)</f>
        <v>13725.635986719999</v>
      </c>
      <c r="H23" s="57">
        <f>SUM(D23:G23)</f>
        <v>13725.635986719999</v>
      </c>
      <c r="I23" s="54">
        <f>SUM(I22:I22)</f>
        <v>0</v>
      </c>
      <c r="J23" s="34">
        <f>SUM(J22:J22)</f>
        <v>0</v>
      </c>
      <c r="K23" s="34">
        <f>SUM(K22:K22)</f>
        <v>0</v>
      </c>
      <c r="L23" s="34">
        <f>SUM(L22:L22)</f>
        <v>933.46399999999994</v>
      </c>
      <c r="M23" s="57">
        <f>SUM(I23:L23)</f>
        <v>933.46399999999994</v>
      </c>
      <c r="N23" s="54">
        <f>SUM(N22:N22)</f>
        <v>0</v>
      </c>
      <c r="O23" s="34">
        <f>SUM(O22:O22)</f>
        <v>0</v>
      </c>
      <c r="P23" s="34">
        <f>SUM(P22:P22)</f>
        <v>0</v>
      </c>
      <c r="Q23" s="34">
        <f>SUM(Q22:Q22)</f>
        <v>11817.65424</v>
      </c>
      <c r="R23" s="57">
        <f>SUM(N23:Q23)</f>
        <v>11817.65424</v>
      </c>
      <c r="T23" s="70"/>
    </row>
    <row r="24" spans="1:21" ht="14.25" customHeight="1" x14ac:dyDescent="0.2">
      <c r="A24" s="79"/>
      <c r="B24" s="76" t="s">
        <v>19</v>
      </c>
      <c r="C24" s="78" t="s">
        <v>4</v>
      </c>
      <c r="D24" s="54">
        <f>D20+D23</f>
        <v>0</v>
      </c>
      <c r="E24" s="34">
        <f>E20+E23</f>
        <v>9419.5813933229219</v>
      </c>
      <c r="F24" s="34">
        <f>F20+F23</f>
        <v>34105.338788000001</v>
      </c>
      <c r="G24" s="34">
        <f>G20+G23</f>
        <v>13725.635986719999</v>
      </c>
      <c r="H24" s="57">
        <f>H10+H15+H19+H23</f>
        <v>57250.556168042924</v>
      </c>
      <c r="I24" s="54">
        <f>I20+I23</f>
        <v>0</v>
      </c>
      <c r="J24" s="34">
        <f>J20+J23</f>
        <v>1788.4406537499999</v>
      </c>
      <c r="K24" s="34">
        <f>K20+K23</f>
        <v>7968.5370999999996</v>
      </c>
      <c r="L24" s="34">
        <f>L20+L23</f>
        <v>933.46399999999994</v>
      </c>
      <c r="M24" s="57">
        <f>M10+M15+M19+M23</f>
        <v>10690.441753749999</v>
      </c>
      <c r="N24" s="54">
        <f>N20+N23</f>
        <v>0</v>
      </c>
      <c r="O24" s="34">
        <f>O20+O23</f>
        <v>7918.0124777678984</v>
      </c>
      <c r="P24" s="34">
        <f>P20+P23</f>
        <v>30439.811721999999</v>
      </c>
      <c r="Q24" s="34">
        <f>Q20+Q23</f>
        <v>11817.65424</v>
      </c>
      <c r="R24" s="57">
        <f>R10+R15+R19+R23</f>
        <v>50175.478439767903</v>
      </c>
    </row>
    <row r="25" spans="1:21" ht="19.5" customHeight="1" x14ac:dyDescent="0.2">
      <c r="A25" s="159" t="s">
        <v>13</v>
      </c>
      <c r="B25" s="157"/>
      <c r="C25" s="158"/>
      <c r="D25" s="55"/>
      <c r="E25" s="35"/>
      <c r="F25" s="35"/>
      <c r="G25" s="35"/>
      <c r="H25" s="56"/>
      <c r="I25" s="55"/>
      <c r="J25" s="35"/>
      <c r="K25" s="71"/>
      <c r="L25" s="71"/>
      <c r="M25" s="56"/>
      <c r="N25" s="55"/>
      <c r="O25" s="35"/>
      <c r="P25" s="35"/>
      <c r="Q25" s="35"/>
      <c r="R25" s="56"/>
      <c r="T25" s="70"/>
      <c r="U25" s="70"/>
    </row>
    <row r="26" spans="1:21" ht="46.5" customHeight="1" x14ac:dyDescent="0.2">
      <c r="A26" s="75">
        <v>6</v>
      </c>
      <c r="B26" s="73" t="s">
        <v>32</v>
      </c>
      <c r="C26" s="74" t="s">
        <v>35</v>
      </c>
      <c r="D26" s="54"/>
      <c r="E26" s="34"/>
      <c r="F26" s="34"/>
      <c r="G26" s="34">
        <f>L26*8.42</f>
        <v>529.94606466932271</v>
      </c>
      <c r="H26" s="57">
        <f>G26</f>
        <v>529.94606466932271</v>
      </c>
      <c r="I26" s="54"/>
      <c r="J26" s="34"/>
      <c r="K26" s="34"/>
      <c r="L26" s="34">
        <f>Q26/7.53</f>
        <v>62.938962549800792</v>
      </c>
      <c r="M26" s="57">
        <f>L26</f>
        <v>62.938962549800792</v>
      </c>
      <c r="N26" s="54"/>
      <c r="O26" s="34"/>
      <c r="P26" s="34"/>
      <c r="Q26" s="123">
        <v>473.93038799999999</v>
      </c>
      <c r="R26" s="57">
        <f>Q26</f>
        <v>473.93038799999999</v>
      </c>
    </row>
    <row r="27" spans="1:21" ht="14.25" customHeight="1" x14ac:dyDescent="0.2">
      <c r="A27" s="75"/>
      <c r="B27" s="76" t="s">
        <v>19</v>
      </c>
      <c r="C27" s="77" t="s">
        <v>14</v>
      </c>
      <c r="D27" s="54"/>
      <c r="E27" s="34"/>
      <c r="F27" s="34"/>
      <c r="G27" s="34">
        <f>G26</f>
        <v>529.94606466932271</v>
      </c>
      <c r="H27" s="57">
        <f>SUM(D27:G27)</f>
        <v>529.94606466932271</v>
      </c>
      <c r="I27" s="54"/>
      <c r="J27" s="34"/>
      <c r="K27" s="34"/>
      <c r="L27" s="34">
        <f>L26</f>
        <v>62.938962549800792</v>
      </c>
      <c r="M27" s="57">
        <f>SUM(I27:L27)</f>
        <v>62.938962549800792</v>
      </c>
      <c r="N27" s="54"/>
      <c r="O27" s="34"/>
      <c r="P27" s="34"/>
      <c r="Q27" s="34">
        <f>Q26</f>
        <v>473.93038799999999</v>
      </c>
      <c r="R27" s="57">
        <f>SUM(N27:Q27)</f>
        <v>473.93038799999999</v>
      </c>
    </row>
    <row r="28" spans="1:21" ht="14.25" customHeight="1" x14ac:dyDescent="0.2">
      <c r="A28" s="75"/>
      <c r="B28" s="76" t="s">
        <v>19</v>
      </c>
      <c r="C28" s="78" t="s">
        <v>21</v>
      </c>
      <c r="D28" s="54">
        <f t="shared" ref="D28:G28" si="13">D24+D27</f>
        <v>0</v>
      </c>
      <c r="E28" s="34">
        <f t="shared" si="13"/>
        <v>9419.5813933229219</v>
      </c>
      <c r="F28" s="34">
        <f t="shared" si="13"/>
        <v>34105.338788000001</v>
      </c>
      <c r="G28" s="34">
        <f t="shared" si="13"/>
        <v>14255.582051389321</v>
      </c>
      <c r="H28" s="57">
        <f>SUM(D28:G28)</f>
        <v>57780.502232712242</v>
      </c>
      <c r="I28" s="54">
        <f t="shared" ref="I28:L28" si="14">I24+I27</f>
        <v>0</v>
      </c>
      <c r="J28" s="34">
        <f t="shared" si="14"/>
        <v>1788.4406537499999</v>
      </c>
      <c r="K28" s="34">
        <f t="shared" si="14"/>
        <v>7968.5370999999996</v>
      </c>
      <c r="L28" s="34">
        <f t="shared" si="14"/>
        <v>996.40296254980069</v>
      </c>
      <c r="M28" s="57">
        <f>SUM(I28:L28)</f>
        <v>10753.3807162998</v>
      </c>
      <c r="N28" s="54">
        <f t="shared" ref="N28:Q28" si="15">N24+N27</f>
        <v>0</v>
      </c>
      <c r="O28" s="34">
        <f t="shared" si="15"/>
        <v>7918.0124777678984</v>
      </c>
      <c r="P28" s="34">
        <f t="shared" si="15"/>
        <v>30439.811721999999</v>
      </c>
      <c r="Q28" s="34">
        <f t="shared" si="15"/>
        <v>12291.584628000001</v>
      </c>
      <c r="R28" s="57">
        <f>SUM(N28:Q28)</f>
        <v>50649.408827767897</v>
      </c>
    </row>
    <row r="29" spans="1:21" ht="28.5" customHeight="1" x14ac:dyDescent="0.2">
      <c r="A29" s="159" t="s">
        <v>22</v>
      </c>
      <c r="B29" s="157"/>
      <c r="C29" s="158"/>
      <c r="D29" s="55"/>
      <c r="E29" s="35"/>
      <c r="F29" s="35"/>
      <c r="G29" s="35"/>
      <c r="H29" s="56"/>
      <c r="I29" s="55"/>
      <c r="J29" s="35"/>
      <c r="K29" s="35"/>
      <c r="L29" s="35"/>
      <c r="M29" s="56"/>
      <c r="N29" s="55"/>
      <c r="O29" s="35"/>
      <c r="P29" s="35"/>
      <c r="Q29" s="35"/>
      <c r="R29" s="56"/>
    </row>
    <row r="30" spans="1:21" ht="20.25" customHeight="1" x14ac:dyDescent="0.2">
      <c r="A30" s="75">
        <v>7</v>
      </c>
      <c r="B30" s="73" t="s">
        <v>68</v>
      </c>
      <c r="C30" s="74" t="s">
        <v>69</v>
      </c>
      <c r="D30" s="54"/>
      <c r="E30" s="34"/>
      <c r="F30" s="34"/>
      <c r="G30" s="37">
        <f>L30*3.64</f>
        <v>0</v>
      </c>
      <c r="H30" s="57">
        <f>SUM(D30:G30)</f>
        <v>0</v>
      </c>
      <c r="I30" s="54"/>
      <c r="J30" s="34"/>
      <c r="K30" s="34"/>
      <c r="L30" s="37">
        <f>Q30/3.53</f>
        <v>0</v>
      </c>
      <c r="M30" s="57">
        <f>L30</f>
        <v>0</v>
      </c>
      <c r="N30" s="54"/>
      <c r="O30" s="34"/>
      <c r="P30" s="34"/>
      <c r="Q30" s="123"/>
      <c r="R30" s="57">
        <f>Q30</f>
        <v>0</v>
      </c>
    </row>
    <row r="31" spans="1:21" ht="14.25" customHeight="1" x14ac:dyDescent="0.2">
      <c r="A31" s="32"/>
      <c r="B31" s="33" t="s">
        <v>19</v>
      </c>
      <c r="C31" s="48" t="s">
        <v>15</v>
      </c>
      <c r="D31" s="54"/>
      <c r="E31" s="34"/>
      <c r="F31" s="34"/>
      <c r="G31" s="34">
        <f>G30</f>
        <v>0</v>
      </c>
      <c r="H31" s="57">
        <f>SUM(D31:G31)</f>
        <v>0</v>
      </c>
      <c r="I31" s="54"/>
      <c r="J31" s="34"/>
      <c r="K31" s="34"/>
      <c r="L31" s="34">
        <f>L30</f>
        <v>0</v>
      </c>
      <c r="M31" s="57">
        <f>SUM(I31:L31)</f>
        <v>0</v>
      </c>
      <c r="N31" s="54"/>
      <c r="O31" s="34"/>
      <c r="P31" s="34"/>
      <c r="Q31" s="34">
        <f>Q30</f>
        <v>0</v>
      </c>
      <c r="R31" s="57">
        <f>SUM(N31:Q31)</f>
        <v>0</v>
      </c>
    </row>
    <row r="32" spans="1:21" ht="14.25" customHeight="1" x14ac:dyDescent="0.2">
      <c r="A32" s="32"/>
      <c r="B32" s="33" t="s">
        <v>19</v>
      </c>
      <c r="C32" s="49" t="s">
        <v>23</v>
      </c>
      <c r="D32" s="54">
        <f t="shared" ref="D32:G32" si="16">D28+D31</f>
        <v>0</v>
      </c>
      <c r="E32" s="34">
        <f t="shared" si="16"/>
        <v>9419.5813933229219</v>
      </c>
      <c r="F32" s="34">
        <f t="shared" si="16"/>
        <v>34105.338788000001</v>
      </c>
      <c r="G32" s="34">
        <f t="shared" si="16"/>
        <v>14255.582051389321</v>
      </c>
      <c r="H32" s="57">
        <f>SUM(D32:G32)</f>
        <v>57780.502232712242</v>
      </c>
      <c r="I32" s="54">
        <f t="shared" ref="I32:K32" si="17">I28+I31</f>
        <v>0</v>
      </c>
      <c r="J32" s="34">
        <f t="shared" si="17"/>
        <v>1788.4406537499999</v>
      </c>
      <c r="K32" s="34">
        <f t="shared" si="17"/>
        <v>7968.5370999999996</v>
      </c>
      <c r="L32" s="34">
        <f>L28+L31</f>
        <v>996.40296254980069</v>
      </c>
      <c r="M32" s="57">
        <f>SUM(I32:L32)</f>
        <v>10753.3807162998</v>
      </c>
      <c r="N32" s="54">
        <f t="shared" ref="N32:Q32" si="18">N28+N31</f>
        <v>0</v>
      </c>
      <c r="O32" s="34">
        <f t="shared" si="18"/>
        <v>7918.0124777678984</v>
      </c>
      <c r="P32" s="34">
        <f t="shared" si="18"/>
        <v>30439.811721999999</v>
      </c>
      <c r="Q32" s="34">
        <f t="shared" si="18"/>
        <v>12291.584628000001</v>
      </c>
      <c r="R32" s="57">
        <f>SUM(N32:Q32)</f>
        <v>50649.408827767897</v>
      </c>
    </row>
    <row r="33" spans="1:21" ht="14.25" customHeight="1" x14ac:dyDescent="0.2">
      <c r="A33" s="161"/>
      <c r="B33" s="162"/>
      <c r="C33" s="163"/>
      <c r="D33" s="55"/>
      <c r="E33" s="35"/>
      <c r="F33" s="35"/>
      <c r="G33" s="35"/>
      <c r="H33" s="56"/>
      <c r="I33" s="55"/>
      <c r="J33" s="35"/>
      <c r="K33" s="35"/>
      <c r="L33" s="35"/>
      <c r="M33" s="56"/>
      <c r="N33" s="55"/>
      <c r="O33" s="35"/>
      <c r="P33" s="35"/>
      <c r="Q33" s="35"/>
      <c r="R33" s="56"/>
    </row>
    <row r="34" spans="1:21" ht="34.5" customHeight="1" x14ac:dyDescent="0.2">
      <c r="A34" s="32">
        <v>8</v>
      </c>
      <c r="B34" s="17" t="s">
        <v>33</v>
      </c>
      <c r="C34" s="47" t="s">
        <v>24</v>
      </c>
      <c r="D34" s="54">
        <f>D32*3%</f>
        <v>0</v>
      </c>
      <c r="E34" s="34">
        <f>E32*3%</f>
        <v>282.58744179968767</v>
      </c>
      <c r="F34" s="34">
        <f>F32*3%</f>
        <v>1023.16016364</v>
      </c>
      <c r="G34" s="34">
        <f>G32*3%</f>
        <v>427.66746154167964</v>
      </c>
      <c r="H34" s="57">
        <f>SUM(D34:G34)</f>
        <v>1733.4150669813671</v>
      </c>
      <c r="I34" s="54">
        <f>I32*3%</f>
        <v>0</v>
      </c>
      <c r="J34" s="34">
        <f>J32*3%</f>
        <v>53.653219612499996</v>
      </c>
      <c r="K34" s="34">
        <f>K32*3%</f>
        <v>239.05611299999998</v>
      </c>
      <c r="L34" s="34">
        <f>L32*3%</f>
        <v>29.892088876494018</v>
      </c>
      <c r="M34" s="57">
        <f>SUM(I34:L34)</f>
        <v>322.60142148899399</v>
      </c>
      <c r="N34" s="54">
        <f>N32*3%</f>
        <v>0</v>
      </c>
      <c r="O34" s="34">
        <f>O32*3%</f>
        <v>237.54037433303694</v>
      </c>
      <c r="P34" s="34">
        <f>P32*3%</f>
        <v>913.19435165999994</v>
      </c>
      <c r="Q34" s="34">
        <f>Q32*3%</f>
        <v>368.74753884</v>
      </c>
      <c r="R34" s="57">
        <f>SUM(N34:Q34)</f>
        <v>1519.4822648330369</v>
      </c>
    </row>
    <row r="35" spans="1:21" ht="14.25" customHeight="1" x14ac:dyDescent="0.2">
      <c r="A35" s="32"/>
      <c r="B35" s="33" t="s">
        <v>19</v>
      </c>
      <c r="C35" s="47" t="s">
        <v>5</v>
      </c>
      <c r="D35" s="58">
        <f t="shared" ref="D35:G35" si="19">D32+D34</f>
        <v>0</v>
      </c>
      <c r="E35" s="38">
        <f t="shared" si="19"/>
        <v>9702.1688351226094</v>
      </c>
      <c r="F35" s="38">
        <f t="shared" si="19"/>
        <v>35128.498951640002</v>
      </c>
      <c r="G35" s="38">
        <f t="shared" si="19"/>
        <v>14683.249512931001</v>
      </c>
      <c r="H35" s="59">
        <f>SUM(D35:G35)</f>
        <v>59513.91729969361</v>
      </c>
      <c r="I35" s="58">
        <f t="shared" ref="I35:L35" si="20">I32+I34</f>
        <v>0</v>
      </c>
      <c r="J35" s="38">
        <f t="shared" si="20"/>
        <v>1842.0938733624998</v>
      </c>
      <c r="K35" s="38">
        <f t="shared" si="20"/>
        <v>8207.5932130000001</v>
      </c>
      <c r="L35" s="38">
        <f t="shared" si="20"/>
        <v>1026.2950514262948</v>
      </c>
      <c r="M35" s="59">
        <f>SUM(I35:L35)</f>
        <v>11075.982137788797</v>
      </c>
      <c r="N35" s="58">
        <f>N32+N34</f>
        <v>0</v>
      </c>
      <c r="O35" s="38">
        <f t="shared" ref="O35:Q35" si="21">O32+O34</f>
        <v>8155.5528521009355</v>
      </c>
      <c r="P35" s="38">
        <f t="shared" si="21"/>
        <v>31353.006073659999</v>
      </c>
      <c r="Q35" s="38">
        <f t="shared" si="21"/>
        <v>12660.33216684</v>
      </c>
      <c r="R35" s="59">
        <f>SUM(N35:Q35)</f>
        <v>52168.891092600934</v>
      </c>
    </row>
    <row r="36" spans="1:21" ht="29.25" customHeight="1" x14ac:dyDescent="0.2">
      <c r="A36" s="32"/>
      <c r="B36" s="33"/>
      <c r="C36" s="47" t="s">
        <v>91</v>
      </c>
      <c r="D36" s="58"/>
      <c r="E36" s="38"/>
      <c r="F36" s="38"/>
      <c r="G36" s="38"/>
      <c r="H36" s="60"/>
      <c r="I36" s="58"/>
      <c r="J36" s="38"/>
      <c r="K36" s="38"/>
      <c r="L36" s="38"/>
      <c r="M36" s="59"/>
      <c r="N36" s="68">
        <f>N35*1.06*1.049*1.143*1.06*1.05*1.045</f>
        <v>0</v>
      </c>
      <c r="O36" s="124">
        <f>O35*1.06*1.049*1.143*1.081*1.054*1.044*1.046*1.039</f>
        <v>13399.698479116798</v>
      </c>
      <c r="P36" s="124">
        <f>P35*1.06*1.049*1.143*1.081*1.054*1.044*1.046*1.039</f>
        <v>51513.470076125523</v>
      </c>
      <c r="Q36" s="124">
        <f>Q35*1.06*1.049*1.143*1.081*1.054*1.044*1.046*1.039</f>
        <v>20801.120016948651</v>
      </c>
      <c r="R36" s="59">
        <f>N36+O36+P36+Q36</f>
        <v>85714.28857219097</v>
      </c>
      <c r="T36" s="1">
        <v>0.7</v>
      </c>
    </row>
    <row r="37" spans="1:21" ht="14.25" customHeight="1" x14ac:dyDescent="0.2">
      <c r="A37" s="32"/>
      <c r="B37" s="33"/>
      <c r="C37" s="47" t="s">
        <v>30</v>
      </c>
      <c r="D37" s="58"/>
      <c r="E37" s="38"/>
      <c r="F37" s="38"/>
      <c r="G37" s="38"/>
      <c r="H37" s="60"/>
      <c r="I37" s="58"/>
      <c r="J37" s="38"/>
      <c r="K37" s="38"/>
      <c r="L37" s="38"/>
      <c r="M37" s="59"/>
      <c r="N37" s="68">
        <f>N36*$T$36</f>
        <v>0</v>
      </c>
      <c r="O37" s="37">
        <f t="shared" ref="O37" si="22">O36*$T$36</f>
        <v>9379.7889353817573</v>
      </c>
      <c r="P37" s="37">
        <f>P36*$T$36</f>
        <v>36059.429053287866</v>
      </c>
      <c r="Q37" s="37">
        <f>(Q36-Q30)*$T$36+Q30</f>
        <v>14560.784011864054</v>
      </c>
      <c r="R37" s="59">
        <f>N37+O37+P37+Q37</f>
        <v>60000.002000533677</v>
      </c>
      <c r="U37" s="114" t="s">
        <v>92</v>
      </c>
    </row>
    <row r="38" spans="1:21" ht="14.25" customHeight="1" x14ac:dyDescent="0.2">
      <c r="A38" s="32"/>
      <c r="B38" s="39" t="s">
        <v>19</v>
      </c>
      <c r="C38" s="47" t="s">
        <v>16</v>
      </c>
      <c r="D38" s="61">
        <f>D35</f>
        <v>0</v>
      </c>
      <c r="E38" s="40">
        <f>E35</f>
        <v>9702.1688351226094</v>
      </c>
      <c r="F38" s="40">
        <f>F35</f>
        <v>35128.498951640002</v>
      </c>
      <c r="G38" s="40">
        <f>G35</f>
        <v>14683.249512931001</v>
      </c>
      <c r="H38" s="62">
        <f>D38+E38+F38+G38</f>
        <v>59513.91729969361</v>
      </c>
      <c r="I38" s="61">
        <f>I35</f>
        <v>0</v>
      </c>
      <c r="J38" s="40">
        <f>J35</f>
        <v>1842.0938733624998</v>
      </c>
      <c r="K38" s="40">
        <f>K35</f>
        <v>8207.5932130000001</v>
      </c>
      <c r="L38" s="40">
        <f>L35</f>
        <v>1026.2950514262948</v>
      </c>
      <c r="M38" s="62">
        <f>I38+J38+K38+L38</f>
        <v>11075.982137788797</v>
      </c>
      <c r="N38" s="61">
        <f>N37</f>
        <v>0</v>
      </c>
      <c r="O38" s="40">
        <f>O37</f>
        <v>9379.7889353817573</v>
      </c>
      <c r="P38" s="40">
        <f>P37</f>
        <v>36059.429053287866</v>
      </c>
      <c r="Q38" s="40">
        <f>Q37</f>
        <v>14560.784011864054</v>
      </c>
      <c r="R38" s="62">
        <f>N38+O38+P38+Q38</f>
        <v>60000.002000533677</v>
      </c>
      <c r="S38" s="115"/>
      <c r="U38" s="1">
        <v>76000</v>
      </c>
    </row>
    <row r="39" spans="1:21" ht="14.25" customHeight="1" x14ac:dyDescent="0.2">
      <c r="A39" s="36"/>
      <c r="B39" s="39" t="s">
        <v>19</v>
      </c>
      <c r="C39" s="47" t="s">
        <v>17</v>
      </c>
      <c r="D39" s="54">
        <f>D38*0.18</f>
        <v>0</v>
      </c>
      <c r="E39" s="34">
        <f>E38*0.18</f>
        <v>1746.3903903220696</v>
      </c>
      <c r="F39" s="34">
        <f t="shared" ref="F39:G39" si="23">F38*0.18</f>
        <v>6323.1298112951999</v>
      </c>
      <c r="G39" s="34">
        <f t="shared" si="23"/>
        <v>2642.9849123275799</v>
      </c>
      <c r="H39" s="57">
        <f>D39+E39+F39+G39</f>
        <v>10712.50511394485</v>
      </c>
      <c r="I39" s="54">
        <f>I38*0.18</f>
        <v>0</v>
      </c>
      <c r="J39" s="34">
        <f>J38*0.18</f>
        <v>331.57689720524996</v>
      </c>
      <c r="K39" s="34">
        <f t="shared" ref="K39:L39" si="24">K38*0.18</f>
        <v>1477.3667783399999</v>
      </c>
      <c r="L39" s="34">
        <f t="shared" si="24"/>
        <v>184.73310925673306</v>
      </c>
      <c r="M39" s="57">
        <f>I39+J39+K39+L39</f>
        <v>1993.6767848019829</v>
      </c>
      <c r="N39" s="54">
        <f>N38*0.18</f>
        <v>0</v>
      </c>
      <c r="O39" s="34">
        <f>O38*0.18</f>
        <v>1688.3620083687163</v>
      </c>
      <c r="P39" s="34">
        <f t="shared" ref="P39:Q39" si="25">P38*0.18</f>
        <v>6490.6972295918158</v>
      </c>
      <c r="Q39" s="34">
        <f t="shared" si="25"/>
        <v>2620.9411221355299</v>
      </c>
      <c r="R39" s="57">
        <f>N39+O39+P39+Q39</f>
        <v>10800.000360096063</v>
      </c>
    </row>
    <row r="40" spans="1:21" ht="32.25" customHeight="1" thickBot="1" x14ac:dyDescent="0.25">
      <c r="A40" s="32"/>
      <c r="B40" s="39" t="s">
        <v>19</v>
      </c>
      <c r="C40" s="47" t="s">
        <v>18</v>
      </c>
      <c r="D40" s="63">
        <f>D38+D39</f>
        <v>0</v>
      </c>
      <c r="E40" s="64">
        <f>E38+E39</f>
        <v>11448.559225444678</v>
      </c>
      <c r="F40" s="64">
        <f t="shared" ref="F40:G40" si="26">F38+F39</f>
        <v>41451.628762935201</v>
      </c>
      <c r="G40" s="64">
        <f t="shared" si="26"/>
        <v>17326.234425258583</v>
      </c>
      <c r="H40" s="65">
        <f>D40+E40+F40+G40</f>
        <v>70226.422413638473</v>
      </c>
      <c r="I40" s="63">
        <f>I38+I39</f>
        <v>0</v>
      </c>
      <c r="J40" s="64">
        <f>J38+J39</f>
        <v>2173.67077056775</v>
      </c>
      <c r="K40" s="64">
        <f t="shared" ref="K40:L40" si="27">K38+K39</f>
        <v>9684.9599913399998</v>
      </c>
      <c r="L40" s="64">
        <f t="shared" si="27"/>
        <v>1211.0281606830279</v>
      </c>
      <c r="M40" s="65">
        <f>I40+J40+K40+L40</f>
        <v>13069.658922590777</v>
      </c>
      <c r="N40" s="63">
        <f>N38+N39</f>
        <v>0</v>
      </c>
      <c r="O40" s="64">
        <f>O38+O39</f>
        <v>11068.150943750474</v>
      </c>
      <c r="P40" s="64">
        <f t="shared" ref="P40:Q40" si="28">P38+P39</f>
        <v>42550.126282879683</v>
      </c>
      <c r="Q40" s="64">
        <f t="shared" si="28"/>
        <v>17181.725133999586</v>
      </c>
      <c r="R40" s="65">
        <f>N40+O40+P40+Q40</f>
        <v>70800.002360629733</v>
      </c>
      <c r="T40" s="91"/>
    </row>
    <row r="41" spans="1:21" ht="9.75" customHeight="1" x14ac:dyDescent="0.2">
      <c r="A41" s="16" t="s">
        <v>19</v>
      </c>
      <c r="B41" s="164" t="s">
        <v>19</v>
      </c>
      <c r="C41" s="165"/>
      <c r="D41" s="166" t="s">
        <v>19</v>
      </c>
      <c r="E41" s="167"/>
      <c r="F41" s="168" t="s">
        <v>19</v>
      </c>
      <c r="G41" s="169"/>
      <c r="H41" s="169"/>
      <c r="I41" s="4"/>
      <c r="J41" s="4"/>
      <c r="K41" s="4"/>
      <c r="L41" s="4"/>
      <c r="M41" s="29"/>
    </row>
    <row r="42" spans="1:21" ht="20.25" customHeight="1" x14ac:dyDescent="0.25">
      <c r="A42" s="16"/>
      <c r="B42" s="116" t="s">
        <v>39</v>
      </c>
      <c r="C42" s="177" t="s">
        <v>71</v>
      </c>
      <c r="D42" s="177"/>
      <c r="E42" s="69"/>
      <c r="G42" s="97" t="s">
        <v>72</v>
      </c>
      <c r="H42" s="69"/>
      <c r="I42" s="69"/>
      <c r="J42" s="7"/>
      <c r="K42" s="7"/>
      <c r="L42" s="7"/>
      <c r="M42" s="7"/>
      <c r="N42" s="155"/>
      <c r="O42" s="155"/>
      <c r="P42" s="155"/>
      <c r="Q42" s="84"/>
      <c r="R42" s="83"/>
      <c r="T42" s="70"/>
    </row>
    <row r="43" spans="1:21" ht="20.25" customHeight="1" x14ac:dyDescent="0.2">
      <c r="A43" s="16"/>
      <c r="B43" s="117"/>
      <c r="C43" s="118"/>
      <c r="D43" s="118"/>
      <c r="E43" s="118"/>
      <c r="F43" s="118"/>
      <c r="G43" s="118"/>
      <c r="H43" s="118"/>
      <c r="I43" s="119"/>
      <c r="J43" s="7"/>
      <c r="K43" s="7"/>
      <c r="L43" s="176" t="s">
        <v>27</v>
      </c>
      <c r="M43" s="176"/>
      <c r="N43" s="155"/>
      <c r="O43" s="155"/>
      <c r="P43" s="155"/>
    </row>
    <row r="44" spans="1:21" ht="27.6" customHeight="1" x14ac:dyDescent="0.25">
      <c r="A44" s="16"/>
      <c r="B44" s="116" t="s">
        <v>40</v>
      </c>
      <c r="C44" s="177" t="s">
        <v>73</v>
      </c>
      <c r="D44" s="177"/>
      <c r="E44" s="69"/>
      <c r="G44" s="97" t="s">
        <v>74</v>
      </c>
      <c r="H44" s="69"/>
      <c r="I44" s="69"/>
      <c r="J44" s="6" t="s">
        <v>28</v>
      </c>
      <c r="K44" s="6"/>
      <c r="L44" s="176"/>
      <c r="M44" s="176"/>
      <c r="N44" s="155"/>
      <c r="O44" s="155"/>
      <c r="P44" s="155"/>
      <c r="T44" s="70"/>
    </row>
    <row r="45" spans="1:21" ht="26.45" customHeight="1" x14ac:dyDescent="0.2">
      <c r="B45" s="120"/>
      <c r="C45" s="176"/>
      <c r="D45" s="176"/>
      <c r="E45" s="176"/>
      <c r="F45" s="176"/>
      <c r="G45" s="176"/>
      <c r="H45" s="112"/>
      <c r="I45" s="112"/>
      <c r="J45" s="111" t="s">
        <v>29</v>
      </c>
      <c r="K45" s="111"/>
      <c r="L45" s="111"/>
      <c r="M45" s="111"/>
      <c r="N45" s="102"/>
      <c r="O45" s="102"/>
      <c r="P45" s="102"/>
    </row>
    <row r="46" spans="1:21" ht="28.15" customHeight="1" x14ac:dyDescent="0.25">
      <c r="G46" s="112"/>
      <c r="H46" s="112"/>
      <c r="I46" s="112"/>
      <c r="J46" s="121"/>
      <c r="K46" s="104"/>
      <c r="L46" s="179" t="s">
        <v>75</v>
      </c>
      <c r="M46" s="179"/>
      <c r="N46" s="97" t="s">
        <v>76</v>
      </c>
      <c r="O46" s="97"/>
      <c r="P46" s="97"/>
    </row>
    <row r="47" spans="1:21" ht="25.9" customHeight="1" x14ac:dyDescent="0.25">
      <c r="B47" s="111" t="s">
        <v>27</v>
      </c>
      <c r="C47" s="111"/>
      <c r="D47" s="111"/>
      <c r="E47" s="111"/>
      <c r="F47" s="111"/>
      <c r="G47" s="107"/>
      <c r="H47" s="107"/>
      <c r="I47" s="107"/>
      <c r="J47" s="179" t="s">
        <v>77</v>
      </c>
      <c r="K47" s="179"/>
      <c r="L47" s="179"/>
      <c r="M47" s="179"/>
      <c r="N47" s="155"/>
      <c r="O47" s="155"/>
      <c r="P47" s="155"/>
      <c r="R47" s="2"/>
    </row>
    <row r="48" spans="1:21" ht="36" customHeight="1" x14ac:dyDescent="0.25">
      <c r="B48" s="173" t="s">
        <v>44</v>
      </c>
      <c r="C48" s="173"/>
      <c r="D48" s="173"/>
      <c r="E48" s="173"/>
      <c r="F48" s="97" t="s">
        <v>78</v>
      </c>
      <c r="G48" s="106"/>
      <c r="H48" s="10"/>
      <c r="I48" s="107"/>
      <c r="J48" s="121"/>
      <c r="K48" s="108"/>
      <c r="L48" s="108"/>
      <c r="M48" s="108"/>
      <c r="N48" s="155"/>
      <c r="O48" s="155"/>
      <c r="P48" s="155"/>
      <c r="R48" s="8"/>
    </row>
    <row r="49" spans="2:10" ht="15.75" x14ac:dyDescent="0.25">
      <c r="B49" s="10"/>
      <c r="C49" s="10"/>
      <c r="D49" s="10"/>
      <c r="E49" s="10"/>
      <c r="F49" s="10"/>
      <c r="I49" s="121"/>
      <c r="J49" s="121"/>
    </row>
    <row r="50" spans="2:10" ht="15.75" x14ac:dyDescent="0.25">
      <c r="B50" s="10"/>
      <c r="C50" s="10"/>
      <c r="D50" s="10"/>
      <c r="E50" s="10"/>
      <c r="F50" s="10"/>
      <c r="J50" s="121"/>
    </row>
    <row r="51" spans="2:10" ht="15" x14ac:dyDescent="0.25">
      <c r="B51" s="111" t="s">
        <v>27</v>
      </c>
      <c r="C51" s="111"/>
      <c r="D51" s="111"/>
      <c r="E51" s="111"/>
      <c r="F51" s="111"/>
      <c r="G51" s="121"/>
      <c r="H51" s="121"/>
      <c r="I51" s="121"/>
      <c r="J51" s="121"/>
    </row>
    <row r="52" spans="2:10" ht="32.25" customHeight="1" x14ac:dyDescent="0.25">
      <c r="B52" s="174" t="s">
        <v>45</v>
      </c>
      <c r="C52" s="174"/>
      <c r="D52" s="174"/>
      <c r="E52" s="174"/>
      <c r="F52" s="97" t="s">
        <v>79</v>
      </c>
      <c r="G52" s="106"/>
      <c r="I52" s="110"/>
      <c r="J52" s="121"/>
    </row>
    <row r="53" spans="2:10" ht="15" x14ac:dyDescent="0.25">
      <c r="B53" s="178"/>
      <c r="C53" s="178"/>
      <c r="D53" s="178"/>
      <c r="E53" s="178"/>
      <c r="F53" s="178"/>
      <c r="G53" s="121"/>
      <c r="I53" s="121"/>
      <c r="J53" s="121"/>
    </row>
  </sheetData>
  <mergeCells count="35">
    <mergeCell ref="B53:F53"/>
    <mergeCell ref="L46:M46"/>
    <mergeCell ref="J47:M47"/>
    <mergeCell ref="N47:P47"/>
    <mergeCell ref="B48:E48"/>
    <mergeCell ref="N48:P48"/>
    <mergeCell ref="B52:E52"/>
    <mergeCell ref="L43:M43"/>
    <mergeCell ref="N43:P43"/>
    <mergeCell ref="C44:D44"/>
    <mergeCell ref="L44:M44"/>
    <mergeCell ref="N44:P44"/>
    <mergeCell ref="C45:G45"/>
    <mergeCell ref="A33:C33"/>
    <mergeCell ref="B41:C41"/>
    <mergeCell ref="D41:E41"/>
    <mergeCell ref="F41:H41"/>
    <mergeCell ref="C42:D42"/>
    <mergeCell ref="N42:P42"/>
    <mergeCell ref="A8:C8"/>
    <mergeCell ref="A11:C11"/>
    <mergeCell ref="A17:C17"/>
    <mergeCell ref="A21:C21"/>
    <mergeCell ref="A25:C25"/>
    <mergeCell ref="A29:C29"/>
    <mergeCell ref="B2:M2"/>
    <mergeCell ref="P2:R2"/>
    <mergeCell ref="A3:H3"/>
    <mergeCell ref="P3:R3"/>
    <mergeCell ref="A5:A6"/>
    <mergeCell ref="B5:B6"/>
    <mergeCell ref="C5:C6"/>
    <mergeCell ref="D5:H5"/>
    <mergeCell ref="I5:M5"/>
    <mergeCell ref="N5:R5"/>
  </mergeCells>
  <conditionalFormatting sqref="G44 G42 F52 H48 B48 B52 F48 N46:P46">
    <cfRule type="cellIs" dxfId="7" priority="1" operator="equal">
      <formula>0</formula>
    </cfRule>
  </conditionalFormatting>
  <pageMargins left="0.55118110236220474" right="0.35433070866141736" top="0.15748031496062992" bottom="0.15748031496062992" header="0.51181102362204722" footer="7.874015748031496E-2"/>
  <pageSetup paperSize="8" scale="78" orientation="landscape" r:id="rId1"/>
  <headerFooter alignWithMargins="0">
    <oddFooter>Страница  &amp;P из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tabSelected="1" zoomScale="90" zoomScaleNormal="90" zoomScaleSheetLayoutView="70" workbookViewId="0">
      <pane xSplit="3" ySplit="7" topLeftCell="D8" activePane="bottomRight" state="frozen"/>
      <selection pane="topRight" activeCell="D1" sqref="D1"/>
      <selection pane="bottomLeft" activeCell="A10" sqref="A10"/>
      <selection pane="bottomRight" activeCell="A17" sqref="A17:C17"/>
    </sheetView>
  </sheetViews>
  <sheetFormatPr defaultRowHeight="12.75" x14ac:dyDescent="0.2"/>
  <cols>
    <col min="1" max="1" width="5.140625" style="12" customWidth="1"/>
    <col min="2" max="2" width="22" style="1" customWidth="1"/>
    <col min="3" max="3" width="41.42578125" style="1" customWidth="1"/>
    <col min="4" max="8" width="10.42578125" style="1" customWidth="1"/>
    <col min="9" max="13" width="10.42578125" style="5" customWidth="1"/>
    <col min="14" max="16" width="10.42578125" style="1" customWidth="1"/>
    <col min="17" max="17" width="10.140625" style="1" customWidth="1"/>
    <col min="18" max="19" width="14.140625" style="1" customWidth="1"/>
    <col min="20" max="20" width="20.85546875" style="1" customWidth="1"/>
    <col min="21" max="21" width="17.140625" style="1" customWidth="1"/>
    <col min="22" max="22" width="12.5703125" style="1" customWidth="1"/>
    <col min="23" max="16384" width="9.140625" style="1"/>
  </cols>
  <sheetData>
    <row r="1" spans="1:22" ht="15" x14ac:dyDescent="0.25">
      <c r="A1" s="11"/>
      <c r="B1"/>
      <c r="C1" s="9"/>
      <c r="D1" s="9"/>
      <c r="E1" s="9"/>
      <c r="F1" s="9"/>
      <c r="G1" s="9"/>
      <c r="H1" s="9"/>
      <c r="I1" s="86"/>
      <c r="J1" s="86"/>
      <c r="K1" s="86"/>
      <c r="L1" s="86"/>
      <c r="M1" s="86"/>
      <c r="N1" s="111"/>
      <c r="O1" s="93"/>
      <c r="Q1" s="93"/>
      <c r="R1" s="112" t="s">
        <v>58</v>
      </c>
    </row>
    <row r="2" spans="1:22" ht="56.25" customHeight="1" x14ac:dyDescent="0.25">
      <c r="A2" s="85"/>
      <c r="B2" s="135" t="s">
        <v>109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85"/>
      <c r="O2" s="85"/>
      <c r="P2" s="175" t="s">
        <v>59</v>
      </c>
      <c r="Q2" s="175"/>
      <c r="R2" s="175"/>
    </row>
    <row r="3" spans="1:22" ht="18.75" customHeight="1" x14ac:dyDescent="0.25">
      <c r="A3" s="137"/>
      <c r="B3" s="138"/>
      <c r="C3" s="138"/>
      <c r="D3" s="138"/>
      <c r="E3" s="138"/>
      <c r="F3" s="138"/>
      <c r="G3" s="138"/>
      <c r="H3" s="138"/>
      <c r="I3" s="3"/>
      <c r="J3" s="3"/>
      <c r="K3" s="3"/>
      <c r="L3" s="3"/>
      <c r="M3" s="3"/>
      <c r="P3" s="139" t="s">
        <v>60</v>
      </c>
      <c r="Q3" s="139"/>
      <c r="R3" s="139"/>
    </row>
    <row r="4" spans="1:22" ht="23.25" customHeight="1" thickBot="1" x14ac:dyDescent="0.25">
      <c r="A4" s="89"/>
      <c r="B4" s="90"/>
      <c r="C4" s="90"/>
      <c r="D4" s="90"/>
      <c r="E4" s="90"/>
      <c r="F4" s="90"/>
      <c r="G4" s="90"/>
      <c r="H4" s="90"/>
      <c r="I4" s="3"/>
      <c r="J4" s="3"/>
      <c r="K4" s="3"/>
      <c r="L4" s="3"/>
      <c r="M4" s="3"/>
      <c r="P4" s="95"/>
      <c r="Q4" s="95"/>
      <c r="R4" s="95"/>
    </row>
    <row r="5" spans="1:22" ht="81.599999999999994" customHeight="1" thickBot="1" x14ac:dyDescent="0.25">
      <c r="A5" s="140" t="s">
        <v>20</v>
      </c>
      <c r="B5" s="142" t="s">
        <v>6</v>
      </c>
      <c r="C5" s="144" t="s">
        <v>7</v>
      </c>
      <c r="D5" s="146" t="str">
        <f>'(2018)'!D5:H5</f>
        <v>БЛОК 1
Укрупненная сметная стоимость 
(в ценах 2 кв. 2017 г.)</v>
      </c>
      <c r="E5" s="147"/>
      <c r="F5" s="147"/>
      <c r="G5" s="147"/>
      <c r="H5" s="148"/>
      <c r="I5" s="149" t="str">
        <f>'(2018)'!I5:M5</f>
        <v>БЛОК 2
Укрупненная сметная стоимость 
в ценах на 01.01.2000 года</v>
      </c>
      <c r="J5" s="150"/>
      <c r="K5" s="150"/>
      <c r="L5" s="150"/>
      <c r="M5" s="151"/>
      <c r="N5" s="152" t="s">
        <v>93</v>
      </c>
      <c r="O5" s="153"/>
      <c r="P5" s="153"/>
      <c r="Q5" s="153"/>
      <c r="R5" s="154"/>
      <c r="T5" s="70"/>
      <c r="V5" s="113"/>
    </row>
    <row r="6" spans="1:22" ht="51.75" customHeight="1" thickBot="1" x14ac:dyDescent="0.25">
      <c r="A6" s="141"/>
      <c r="B6" s="143"/>
      <c r="C6" s="145"/>
      <c r="D6" s="13" t="s">
        <v>0</v>
      </c>
      <c r="E6" s="14" t="s">
        <v>1</v>
      </c>
      <c r="F6" s="14" t="s">
        <v>2</v>
      </c>
      <c r="G6" s="15" t="s">
        <v>3</v>
      </c>
      <c r="H6" s="41" t="s">
        <v>8</v>
      </c>
      <c r="I6" s="42" t="s">
        <v>0</v>
      </c>
      <c r="J6" s="43" t="s">
        <v>1</v>
      </c>
      <c r="K6" s="43" t="s">
        <v>2</v>
      </c>
      <c r="L6" s="44" t="s">
        <v>3</v>
      </c>
      <c r="M6" s="45" t="s">
        <v>8</v>
      </c>
      <c r="N6" s="42" t="s">
        <v>0</v>
      </c>
      <c r="O6" s="43" t="s">
        <v>1</v>
      </c>
      <c r="P6" s="43" t="s">
        <v>2</v>
      </c>
      <c r="Q6" s="44" t="s">
        <v>3</v>
      </c>
      <c r="R6" s="46" t="s">
        <v>8</v>
      </c>
    </row>
    <row r="7" spans="1:22" ht="14.25" customHeight="1" x14ac:dyDescent="0.2">
      <c r="A7" s="18">
        <v>1</v>
      </c>
      <c r="B7" s="19">
        <v>2</v>
      </c>
      <c r="C7" s="20">
        <v>3</v>
      </c>
      <c r="D7" s="21">
        <v>4</v>
      </c>
      <c r="E7" s="22">
        <v>5</v>
      </c>
      <c r="F7" s="22">
        <v>6</v>
      </c>
      <c r="G7" s="23">
        <v>7</v>
      </c>
      <c r="H7" s="24">
        <v>8</v>
      </c>
      <c r="I7" s="25">
        <v>9</v>
      </c>
      <c r="J7" s="26">
        <v>10</v>
      </c>
      <c r="K7" s="26">
        <v>11</v>
      </c>
      <c r="L7" s="27">
        <v>12</v>
      </c>
      <c r="M7" s="28">
        <v>13</v>
      </c>
      <c r="N7" s="25">
        <v>32</v>
      </c>
      <c r="O7" s="26">
        <v>33</v>
      </c>
      <c r="P7" s="26">
        <v>34</v>
      </c>
      <c r="Q7" s="27">
        <v>35</v>
      </c>
      <c r="R7" s="28">
        <v>36</v>
      </c>
    </row>
    <row r="8" spans="1:22" ht="14.25" hidden="1" customHeight="1" x14ac:dyDescent="0.2">
      <c r="A8" s="156" t="s">
        <v>36</v>
      </c>
      <c r="B8" s="157"/>
      <c r="C8" s="158"/>
      <c r="D8" s="50"/>
      <c r="E8" s="87"/>
      <c r="F8" s="87"/>
      <c r="G8" s="87"/>
      <c r="H8" s="51"/>
      <c r="I8" s="50"/>
      <c r="J8" s="87"/>
      <c r="K8" s="87"/>
      <c r="L8" s="87"/>
      <c r="M8" s="51"/>
      <c r="N8" s="66"/>
      <c r="O8" s="30"/>
      <c r="P8" s="30"/>
      <c r="Q8" s="30"/>
      <c r="R8" s="67"/>
    </row>
    <row r="9" spans="1:22" ht="39.75" hidden="1" customHeight="1" x14ac:dyDescent="0.2">
      <c r="A9" s="72"/>
      <c r="B9" s="73"/>
      <c r="C9" s="74"/>
      <c r="D9" s="52">
        <f>I9*6.42</f>
        <v>0</v>
      </c>
      <c r="E9" s="31"/>
      <c r="F9" s="31"/>
      <c r="G9" s="31"/>
      <c r="H9" s="53">
        <f>SUM(D9:G9)</f>
        <v>0</v>
      </c>
      <c r="I9" s="52"/>
      <c r="J9" s="31"/>
      <c r="K9" s="31"/>
      <c r="L9" s="31"/>
      <c r="M9" s="53">
        <f>SUM(I9:L9)</f>
        <v>0</v>
      </c>
      <c r="N9" s="52">
        <f>I9*6.35</f>
        <v>0</v>
      </c>
      <c r="O9" s="31"/>
      <c r="P9" s="31"/>
      <c r="Q9" s="31"/>
      <c r="R9" s="53">
        <f>N9+O9+P9+Q9</f>
        <v>0</v>
      </c>
    </row>
    <row r="10" spans="1:22" ht="14.25" hidden="1" customHeight="1" x14ac:dyDescent="0.2">
      <c r="A10" s="75"/>
      <c r="B10" s="76" t="s">
        <v>19</v>
      </c>
      <c r="C10" s="77" t="s">
        <v>34</v>
      </c>
      <c r="D10" s="54">
        <f t="shared" ref="D10:Q10" si="0">D9</f>
        <v>0</v>
      </c>
      <c r="E10" s="34">
        <f t="shared" si="0"/>
        <v>0</v>
      </c>
      <c r="F10" s="34">
        <f t="shared" si="0"/>
        <v>0</v>
      </c>
      <c r="G10" s="34">
        <f t="shared" si="0"/>
        <v>0</v>
      </c>
      <c r="H10" s="53">
        <f>SUM(D10:G10)</f>
        <v>0</v>
      </c>
      <c r="I10" s="54">
        <f t="shared" si="0"/>
        <v>0</v>
      </c>
      <c r="J10" s="34">
        <f>J9</f>
        <v>0</v>
      </c>
      <c r="K10" s="34">
        <f t="shared" si="0"/>
        <v>0</v>
      </c>
      <c r="L10" s="34">
        <f t="shared" si="0"/>
        <v>0</v>
      </c>
      <c r="M10" s="53">
        <f>SUM(I10:L10)</f>
        <v>0</v>
      </c>
      <c r="N10" s="5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53">
        <f>SUM(N10:Q10)</f>
        <v>0</v>
      </c>
    </row>
    <row r="11" spans="1:22" ht="16.5" customHeight="1" x14ac:dyDescent="0.2">
      <c r="A11" s="159" t="s">
        <v>9</v>
      </c>
      <c r="B11" s="157"/>
      <c r="C11" s="158"/>
      <c r="D11" s="50"/>
      <c r="E11" s="87"/>
      <c r="F11" s="87"/>
      <c r="G11" s="87"/>
      <c r="H11" s="53"/>
      <c r="I11" s="50"/>
      <c r="J11" s="88"/>
      <c r="K11" s="88"/>
      <c r="L11" s="87"/>
      <c r="M11" s="51"/>
      <c r="N11" s="50"/>
      <c r="O11" s="87"/>
      <c r="P11" s="87"/>
      <c r="Q11" s="87"/>
      <c r="R11" s="51"/>
      <c r="T11" s="12" t="s">
        <v>87</v>
      </c>
    </row>
    <row r="12" spans="1:22" ht="45.75" customHeight="1" x14ac:dyDescent="0.2">
      <c r="A12" s="72">
        <v>1</v>
      </c>
      <c r="B12" s="73" t="s">
        <v>42</v>
      </c>
      <c r="C12" s="74" t="s">
        <v>94</v>
      </c>
      <c r="D12" s="52">
        <v>0</v>
      </c>
      <c r="E12" s="31">
        <f>J12*4.9*1.003</f>
        <v>4936.2871316919991</v>
      </c>
      <c r="F12" s="31">
        <f>K12*4.28</f>
        <v>18758.966079999998</v>
      </c>
      <c r="G12" s="31"/>
      <c r="H12" s="53">
        <f t="shared" ref="H12:H14" si="1">SUM(D12:G12)</f>
        <v>23695.253211691997</v>
      </c>
      <c r="I12" s="80"/>
      <c r="J12" s="31">
        <f>0.38453*T12</f>
        <v>1004.3923599999999</v>
      </c>
      <c r="K12" s="31">
        <f>1.678*T12</f>
        <v>4382.9359999999997</v>
      </c>
      <c r="L12" s="31"/>
      <c r="M12" s="53">
        <f>SUM(I12:L12)</f>
        <v>5387.3283599999995</v>
      </c>
      <c r="N12" s="80"/>
      <c r="O12" s="31">
        <f>J12*4.21*1.003</f>
        <v>4241.1773111067996</v>
      </c>
      <c r="P12" s="31">
        <f>K12*3.82</f>
        <v>16742.815519999996</v>
      </c>
      <c r="Q12" s="31"/>
      <c r="R12" s="53">
        <f>SUM(N12:Q12)</f>
        <v>20983.992831106796</v>
      </c>
      <c r="T12" s="12">
        <v>2612</v>
      </c>
    </row>
    <row r="13" spans="1:22" ht="49.5" customHeight="1" x14ac:dyDescent="0.2">
      <c r="A13" s="72">
        <v>2</v>
      </c>
      <c r="B13" s="73" t="s">
        <v>63</v>
      </c>
      <c r="C13" s="74" t="s">
        <v>95</v>
      </c>
      <c r="D13" s="52"/>
      <c r="E13" s="31">
        <f>J13*4.9*1.003</f>
        <v>2093.8473858959997</v>
      </c>
      <c r="F13" s="31">
        <f t="shared" ref="F13:F14" si="2">K13*4.28</f>
        <v>9796.4064000000017</v>
      </c>
      <c r="G13" s="31"/>
      <c r="H13" s="53">
        <f t="shared" si="1"/>
        <v>11890.253785896002</v>
      </c>
      <c r="I13" s="80"/>
      <c r="J13" s="31">
        <f>0.69614*T13</f>
        <v>426.03767999999997</v>
      </c>
      <c r="K13" s="31">
        <f>3.74*T13</f>
        <v>2288.88</v>
      </c>
      <c r="L13" s="31"/>
      <c r="M13" s="53">
        <f>SUM(I13:L13)</f>
        <v>2714.91768</v>
      </c>
      <c r="N13" s="80"/>
      <c r="O13" s="31">
        <f>J13*4.21*1.003</f>
        <v>1798.9994886983998</v>
      </c>
      <c r="P13" s="31">
        <f>K13*3.82</f>
        <v>8743.5216</v>
      </c>
      <c r="Q13" s="31"/>
      <c r="R13" s="53">
        <f>SUM(N13:Q13)</f>
        <v>10542.5210886984</v>
      </c>
      <c r="T13" s="12">
        <v>612</v>
      </c>
    </row>
    <row r="14" spans="1:22" ht="45.75" customHeight="1" x14ac:dyDescent="0.2">
      <c r="A14" s="72">
        <v>3</v>
      </c>
      <c r="B14" s="73" t="s">
        <v>65</v>
      </c>
      <c r="C14" s="74" t="s">
        <v>96</v>
      </c>
      <c r="D14" s="52"/>
      <c r="E14" s="31">
        <f>J14*7.29*1.003</f>
        <v>1801.5258769937998</v>
      </c>
      <c r="F14" s="31">
        <f t="shared" si="2"/>
        <v>4214.3713360000002</v>
      </c>
      <c r="G14" s="31"/>
      <c r="H14" s="53">
        <f t="shared" si="1"/>
        <v>6015.8972129938002</v>
      </c>
      <c r="I14" s="80"/>
      <c r="J14" s="31">
        <f>3.32951*T14</f>
        <v>246.38373999999999</v>
      </c>
      <c r="K14" s="31">
        <f>13.3063*T14</f>
        <v>984.6662</v>
      </c>
      <c r="L14" s="31"/>
      <c r="M14" s="53">
        <f>SUM(I14:L14)</f>
        <v>1231.0499399999999</v>
      </c>
      <c r="N14" s="80"/>
      <c r="O14" s="31">
        <f>J14*6.35*1.003</f>
        <v>1569.2303592469998</v>
      </c>
      <c r="P14" s="31">
        <f t="shared" ref="P14" si="3">K14*3.82</f>
        <v>3761.424884</v>
      </c>
      <c r="Q14" s="31"/>
      <c r="R14" s="53">
        <f>SUM(N14:Q14)</f>
        <v>5330.6552432469998</v>
      </c>
      <c r="T14" s="12">
        <v>74</v>
      </c>
    </row>
    <row r="15" spans="1:22" ht="14.25" customHeight="1" x14ac:dyDescent="0.2">
      <c r="A15" s="75"/>
      <c r="B15" s="76" t="s">
        <v>19</v>
      </c>
      <c r="C15" s="77" t="s">
        <v>10</v>
      </c>
      <c r="D15" s="54">
        <f>SUM(D12:D14)</f>
        <v>0</v>
      </c>
      <c r="E15" s="34">
        <f>SUM(E12:E14)</f>
        <v>8831.6603945817988</v>
      </c>
      <c r="F15" s="34">
        <f t="shared" ref="F15:G15" si="4">SUM(F12:F14)</f>
        <v>32769.743816000002</v>
      </c>
      <c r="G15" s="34">
        <f t="shared" si="4"/>
        <v>0</v>
      </c>
      <c r="H15" s="53">
        <f>SUM(D15:G15)</f>
        <v>41601.404210581801</v>
      </c>
      <c r="I15" s="54">
        <f>SUM(I12:I14)</f>
        <v>0</v>
      </c>
      <c r="J15" s="34">
        <f>SUM(J12:J14)</f>
        <v>1676.81378</v>
      </c>
      <c r="K15" s="34">
        <f>SUM(K12:K14)</f>
        <v>7656.4821999999995</v>
      </c>
      <c r="L15" s="34">
        <f t="shared" ref="L15" si="5">SUM(L12:L14)</f>
        <v>0</v>
      </c>
      <c r="M15" s="53">
        <f>SUM(I15:L15)</f>
        <v>9333.295979999999</v>
      </c>
      <c r="N15" s="81">
        <f>N12+N14</f>
        <v>0</v>
      </c>
      <c r="O15" s="34">
        <f>SUM(O12:O14)</f>
        <v>7609.4071590521989</v>
      </c>
      <c r="P15" s="34">
        <f>SUM(P12:P14)</f>
        <v>29247.762003999997</v>
      </c>
      <c r="Q15" s="34">
        <f t="shared" ref="Q15" si="6">Q12+Q14</f>
        <v>0</v>
      </c>
      <c r="R15" s="53">
        <f>SUM(N15:Q15)</f>
        <v>36857.169163052196</v>
      </c>
    </row>
    <row r="16" spans="1:22" ht="14.25" customHeight="1" x14ac:dyDescent="0.2">
      <c r="A16" s="75"/>
      <c r="B16" s="76"/>
      <c r="C16" s="78" t="s">
        <v>37</v>
      </c>
      <c r="D16" s="54">
        <f>D15+D10</f>
        <v>0</v>
      </c>
      <c r="E16" s="34">
        <f>E15+E10</f>
        <v>8831.6603945817988</v>
      </c>
      <c r="F16" s="34">
        <f t="shared" ref="F16:G16" si="7">F15+F10</f>
        <v>32769.743816000002</v>
      </c>
      <c r="G16" s="34">
        <f t="shared" si="7"/>
        <v>0</v>
      </c>
      <c r="H16" s="53">
        <f>SUM(D16:G16)</f>
        <v>41601.404210581801</v>
      </c>
      <c r="I16" s="54">
        <f>I15+I10</f>
        <v>0</v>
      </c>
      <c r="J16" s="34">
        <f>J15+J10</f>
        <v>1676.81378</v>
      </c>
      <c r="K16" s="34">
        <f t="shared" ref="K16:L16" si="8">K15+K10</f>
        <v>7656.4821999999995</v>
      </c>
      <c r="L16" s="34">
        <f t="shared" si="8"/>
        <v>0</v>
      </c>
      <c r="M16" s="53">
        <f>SUM(I16:L16)</f>
        <v>9333.295979999999</v>
      </c>
      <c r="N16" s="81">
        <f>N15+N10</f>
        <v>0</v>
      </c>
      <c r="O16" s="34">
        <f>O15+O10</f>
        <v>7609.4071590521989</v>
      </c>
      <c r="P16" s="34">
        <f t="shared" ref="P16:Q16" si="9">P15+P10</f>
        <v>29247.762003999997</v>
      </c>
      <c r="Q16" s="34">
        <f t="shared" si="9"/>
        <v>0</v>
      </c>
      <c r="R16" s="53">
        <f>SUM(N16:Q16)</f>
        <v>36857.169163052196</v>
      </c>
      <c r="T16" s="70">
        <f>R38</f>
        <v>59991.829999854555</v>
      </c>
    </row>
    <row r="17" spans="1:21" ht="15.75" customHeight="1" x14ac:dyDescent="0.2">
      <c r="A17" s="159" t="s">
        <v>25</v>
      </c>
      <c r="B17" s="157"/>
      <c r="C17" s="158"/>
      <c r="D17" s="55"/>
      <c r="E17" s="35"/>
      <c r="F17" s="35"/>
      <c r="G17" s="35"/>
      <c r="H17" s="56"/>
      <c r="I17" s="82"/>
      <c r="J17" s="35"/>
      <c r="K17" s="35"/>
      <c r="L17" s="35"/>
      <c r="M17" s="56"/>
      <c r="N17" s="82"/>
      <c r="O17" s="35"/>
      <c r="P17" s="35"/>
      <c r="Q17" s="35"/>
      <c r="R17" s="56"/>
    </row>
    <row r="18" spans="1:21" ht="34.5" customHeight="1" x14ac:dyDescent="0.2">
      <c r="A18" s="72">
        <v>3</v>
      </c>
      <c r="B18" s="73" t="s">
        <v>31</v>
      </c>
      <c r="C18" s="74" t="s">
        <v>67</v>
      </c>
      <c r="D18" s="52">
        <f>D16*3.12%</f>
        <v>0</v>
      </c>
      <c r="E18" s="31">
        <f>E16*2.5%</f>
        <v>220.79150986454499</v>
      </c>
      <c r="F18" s="31"/>
      <c r="G18" s="31"/>
      <c r="H18" s="53">
        <f>SUM(D18:G18)</f>
        <v>220.79150986454499</v>
      </c>
      <c r="I18" s="80">
        <f>I16*3.12%</f>
        <v>0</v>
      </c>
      <c r="J18" s="31">
        <f>J16*2.5%</f>
        <v>41.920344499999999</v>
      </c>
      <c r="K18" s="31"/>
      <c r="L18" s="31"/>
      <c r="M18" s="53">
        <f>SUM(I18:L18)</f>
        <v>41.920344499999999</v>
      </c>
      <c r="N18" s="80">
        <f>N16*3.12%</f>
        <v>0</v>
      </c>
      <c r="O18" s="31"/>
      <c r="P18" s="31"/>
      <c r="Q18" s="31"/>
      <c r="R18" s="53">
        <f>SUM(N18:Q18)</f>
        <v>0</v>
      </c>
    </row>
    <row r="19" spans="1:21" ht="14.25" customHeight="1" x14ac:dyDescent="0.2">
      <c r="A19" s="75"/>
      <c r="B19" s="76" t="s">
        <v>19</v>
      </c>
      <c r="C19" s="77" t="s">
        <v>26</v>
      </c>
      <c r="D19" s="54">
        <f>D18</f>
        <v>0</v>
      </c>
      <c r="E19" s="34">
        <f>E18</f>
        <v>220.79150986454499</v>
      </c>
      <c r="F19" s="34"/>
      <c r="G19" s="34"/>
      <c r="H19" s="53">
        <f>SUM(D19:G19)</f>
        <v>220.79150986454499</v>
      </c>
      <c r="I19" s="81">
        <f>I18</f>
        <v>0</v>
      </c>
      <c r="J19" s="34">
        <f>J18</f>
        <v>41.920344499999999</v>
      </c>
      <c r="K19" s="34"/>
      <c r="L19" s="34"/>
      <c r="M19" s="53">
        <f>SUM(I19:L19)</f>
        <v>41.920344499999999</v>
      </c>
      <c r="N19" s="54">
        <f>N18</f>
        <v>0</v>
      </c>
      <c r="O19" s="34">
        <f>O18</f>
        <v>0</v>
      </c>
      <c r="P19" s="34"/>
      <c r="Q19" s="34"/>
      <c r="R19" s="53">
        <f>SUM(N19:Q19)</f>
        <v>0</v>
      </c>
      <c r="T19" s="122"/>
    </row>
    <row r="20" spans="1:21" ht="14.25" customHeight="1" x14ac:dyDescent="0.2">
      <c r="A20" s="75"/>
      <c r="B20" s="76"/>
      <c r="C20" s="78" t="s">
        <v>38</v>
      </c>
      <c r="D20" s="54">
        <f>D16+D19</f>
        <v>0</v>
      </c>
      <c r="E20" s="34">
        <f>E16+E19</f>
        <v>9052.4519044463432</v>
      </c>
      <c r="F20" s="34">
        <f t="shared" ref="F20:G20" si="10">F16+F19</f>
        <v>32769.743816000002</v>
      </c>
      <c r="G20" s="34">
        <f t="shared" si="10"/>
        <v>0</v>
      </c>
      <c r="H20" s="53">
        <f>SUM(D20:G20)</f>
        <v>41822.195720446347</v>
      </c>
      <c r="I20" s="81">
        <f>I16+I19</f>
        <v>0</v>
      </c>
      <c r="J20" s="34">
        <f>J16+J19</f>
        <v>1718.7341245</v>
      </c>
      <c r="K20" s="34">
        <f t="shared" ref="K20:L20" si="11">K16+K19</f>
        <v>7656.4821999999995</v>
      </c>
      <c r="L20" s="34">
        <f t="shared" si="11"/>
        <v>0</v>
      </c>
      <c r="M20" s="53">
        <f>SUM(I20:L20)</f>
        <v>9375.2163244999992</v>
      </c>
      <c r="N20" s="54">
        <f>N16+N19</f>
        <v>0</v>
      </c>
      <c r="O20" s="34">
        <f>O16+O19</f>
        <v>7609.4071590521989</v>
      </c>
      <c r="P20" s="34">
        <f t="shared" ref="P20:Q20" si="12">P16+P19</f>
        <v>29247.762003999997</v>
      </c>
      <c r="Q20" s="34">
        <f t="shared" si="12"/>
        <v>0</v>
      </c>
      <c r="R20" s="53">
        <f>SUM(N20:Q20)</f>
        <v>36857.169163052196</v>
      </c>
      <c r="T20" s="122"/>
    </row>
    <row r="21" spans="1:21" ht="15.75" customHeight="1" x14ac:dyDescent="0.2">
      <c r="A21" s="159" t="s">
        <v>11</v>
      </c>
      <c r="B21" s="157"/>
      <c r="C21" s="158"/>
      <c r="D21" s="55"/>
      <c r="E21" s="35"/>
      <c r="F21" s="35"/>
      <c r="G21" s="35"/>
      <c r="H21" s="56"/>
      <c r="I21" s="55"/>
      <c r="J21" s="35"/>
      <c r="K21" s="35"/>
      <c r="L21" s="35"/>
      <c r="M21" s="56"/>
      <c r="N21" s="55"/>
      <c r="O21" s="35"/>
      <c r="P21" s="35"/>
      <c r="Q21" s="35"/>
      <c r="R21" s="56"/>
    </row>
    <row r="22" spans="1:21" ht="15" x14ac:dyDescent="0.2">
      <c r="A22" s="75">
        <v>4</v>
      </c>
      <c r="B22" s="73" t="s">
        <v>42</v>
      </c>
      <c r="C22" s="74" t="s">
        <v>43</v>
      </c>
      <c r="D22" s="54">
        <f>D20*4.73%</f>
        <v>0</v>
      </c>
      <c r="E22" s="34">
        <v>0</v>
      </c>
      <c r="F22" s="34"/>
      <c r="G22" s="34">
        <f>L22*14.66*1.003</f>
        <v>13193.294859277597</v>
      </c>
      <c r="H22" s="57">
        <f>SUM(D22:G22)</f>
        <v>13193.294859277597</v>
      </c>
      <c r="I22" s="54"/>
      <c r="J22" s="34"/>
      <c r="K22" s="34"/>
      <c r="L22" s="34">
        <f>0.10074*T12+0.10074*T13+7.73614*T14</f>
        <v>897.26011999999992</v>
      </c>
      <c r="M22" s="57">
        <f>SUM(I22:L22)</f>
        <v>897.26011999999992</v>
      </c>
      <c r="N22" s="54">
        <f>N20*4.73%</f>
        <v>0</v>
      </c>
      <c r="O22" s="34"/>
      <c r="P22" s="34"/>
      <c r="Q22" s="34">
        <f>L22*12.66</f>
        <v>11359.313119199998</v>
      </c>
      <c r="R22" s="57">
        <f>SUM(N22:Q22)</f>
        <v>11359.313119199998</v>
      </c>
    </row>
    <row r="23" spans="1:21" ht="14.25" customHeight="1" x14ac:dyDescent="0.2">
      <c r="A23" s="79"/>
      <c r="B23" s="76" t="s">
        <v>19</v>
      </c>
      <c r="C23" s="77" t="s">
        <v>12</v>
      </c>
      <c r="D23" s="54">
        <f>SUM(D22:D22)</f>
        <v>0</v>
      </c>
      <c r="E23" s="34">
        <f>SUM(E22:E22)</f>
        <v>0</v>
      </c>
      <c r="F23" s="34">
        <f>SUM(F22:F22)</f>
        <v>0</v>
      </c>
      <c r="G23" s="34">
        <f>SUM(G22:G22)</f>
        <v>13193.294859277597</v>
      </c>
      <c r="H23" s="57">
        <f>SUM(D23:G23)</f>
        <v>13193.294859277597</v>
      </c>
      <c r="I23" s="54">
        <f>SUM(I22:I22)</f>
        <v>0</v>
      </c>
      <c r="J23" s="34">
        <f>SUM(J22:J22)</f>
        <v>0</v>
      </c>
      <c r="K23" s="34">
        <f>SUM(K22:K22)</f>
        <v>0</v>
      </c>
      <c r="L23" s="34">
        <f>SUM(L22:L22)</f>
        <v>897.26011999999992</v>
      </c>
      <c r="M23" s="57">
        <f>SUM(I23:L23)</f>
        <v>897.26011999999992</v>
      </c>
      <c r="N23" s="54">
        <f>SUM(N22:N22)</f>
        <v>0</v>
      </c>
      <c r="O23" s="34">
        <f>SUM(O22:O22)</f>
        <v>0</v>
      </c>
      <c r="P23" s="34">
        <f>SUM(P22:P22)</f>
        <v>0</v>
      </c>
      <c r="Q23" s="34">
        <f>SUM(Q22:Q22)</f>
        <v>11359.313119199998</v>
      </c>
      <c r="R23" s="57">
        <f>SUM(N23:Q23)</f>
        <v>11359.313119199998</v>
      </c>
      <c r="T23" s="70"/>
    </row>
    <row r="24" spans="1:21" ht="14.25" customHeight="1" x14ac:dyDescent="0.2">
      <c r="A24" s="79"/>
      <c r="B24" s="76" t="s">
        <v>19</v>
      </c>
      <c r="C24" s="78" t="s">
        <v>4</v>
      </c>
      <c r="D24" s="54">
        <f>D20+D23</f>
        <v>0</v>
      </c>
      <c r="E24" s="34">
        <f>E20+E23</f>
        <v>9052.4519044463432</v>
      </c>
      <c r="F24" s="34">
        <f>F20+F23</f>
        <v>32769.743816000002</v>
      </c>
      <c r="G24" s="34">
        <f>G20+G23</f>
        <v>13193.294859277597</v>
      </c>
      <c r="H24" s="57">
        <f>H10+H15+H19+H23</f>
        <v>55015.490579723948</v>
      </c>
      <c r="I24" s="54">
        <f>I20+I23</f>
        <v>0</v>
      </c>
      <c r="J24" s="34">
        <f>J20+J23</f>
        <v>1718.7341245</v>
      </c>
      <c r="K24" s="34">
        <f>K20+K23</f>
        <v>7656.4821999999995</v>
      </c>
      <c r="L24" s="34">
        <f>L20+L23</f>
        <v>897.26011999999992</v>
      </c>
      <c r="M24" s="57">
        <f>M10+M15+M19+M23</f>
        <v>10272.4764445</v>
      </c>
      <c r="N24" s="54">
        <f>N20+N23</f>
        <v>0</v>
      </c>
      <c r="O24" s="34">
        <f>O20+O23</f>
        <v>7609.4071590521989</v>
      </c>
      <c r="P24" s="34">
        <f>P20+P23</f>
        <v>29247.762003999997</v>
      </c>
      <c r="Q24" s="34">
        <f>Q20+Q23</f>
        <v>11359.313119199998</v>
      </c>
      <c r="R24" s="57">
        <f>R10+R15+R19+R23</f>
        <v>48216.482282252196</v>
      </c>
    </row>
    <row r="25" spans="1:21" ht="19.5" customHeight="1" x14ac:dyDescent="0.2">
      <c r="A25" s="159" t="s">
        <v>13</v>
      </c>
      <c r="B25" s="157"/>
      <c r="C25" s="158"/>
      <c r="D25" s="55"/>
      <c r="E25" s="35"/>
      <c r="F25" s="35"/>
      <c r="G25" s="35"/>
      <c r="H25" s="56"/>
      <c r="I25" s="55"/>
      <c r="J25" s="35"/>
      <c r="K25" s="71"/>
      <c r="L25" s="71"/>
      <c r="M25" s="56"/>
      <c r="N25" s="55"/>
      <c r="O25" s="35"/>
      <c r="P25" s="35"/>
      <c r="Q25" s="35"/>
      <c r="R25" s="56"/>
      <c r="T25" s="70"/>
      <c r="U25" s="70"/>
    </row>
    <row r="26" spans="1:21" ht="46.5" customHeight="1" x14ac:dyDescent="0.2">
      <c r="A26" s="75">
        <v>6</v>
      </c>
      <c r="B26" s="73" t="s">
        <v>32</v>
      </c>
      <c r="C26" s="74" t="s">
        <v>35</v>
      </c>
      <c r="D26" s="54"/>
      <c r="E26" s="34"/>
      <c r="F26" s="34"/>
      <c r="G26" s="34">
        <f>L26*8.42</f>
        <v>534.76419106241701</v>
      </c>
      <c r="H26" s="57">
        <f>G26</f>
        <v>534.76419106241701</v>
      </c>
      <c r="I26" s="54"/>
      <c r="J26" s="34"/>
      <c r="K26" s="34"/>
      <c r="L26" s="34">
        <f>Q26/7.53</f>
        <v>63.511186586985389</v>
      </c>
      <c r="M26" s="57">
        <f>L26</f>
        <v>63.511186586985389</v>
      </c>
      <c r="N26" s="54"/>
      <c r="O26" s="34"/>
      <c r="P26" s="34"/>
      <c r="Q26" s="123">
        <v>478.23923500000001</v>
      </c>
      <c r="R26" s="57">
        <f>Q26</f>
        <v>478.23923500000001</v>
      </c>
    </row>
    <row r="27" spans="1:21" ht="14.25" customHeight="1" x14ac:dyDescent="0.2">
      <c r="A27" s="75"/>
      <c r="B27" s="76" t="s">
        <v>19</v>
      </c>
      <c r="C27" s="77" t="s">
        <v>14</v>
      </c>
      <c r="D27" s="54"/>
      <c r="E27" s="34"/>
      <c r="F27" s="34"/>
      <c r="G27" s="34">
        <f>G26</f>
        <v>534.76419106241701</v>
      </c>
      <c r="H27" s="57">
        <f>SUM(D27:G27)</f>
        <v>534.76419106241701</v>
      </c>
      <c r="I27" s="54"/>
      <c r="J27" s="34"/>
      <c r="K27" s="34"/>
      <c r="L27" s="34">
        <f>L26</f>
        <v>63.511186586985389</v>
      </c>
      <c r="M27" s="57">
        <f>SUM(I27:L27)</f>
        <v>63.511186586985389</v>
      </c>
      <c r="N27" s="54"/>
      <c r="O27" s="34"/>
      <c r="P27" s="34"/>
      <c r="Q27" s="34">
        <f>Q26</f>
        <v>478.23923500000001</v>
      </c>
      <c r="R27" s="57">
        <f>SUM(N27:Q27)</f>
        <v>478.23923500000001</v>
      </c>
    </row>
    <row r="28" spans="1:21" ht="14.25" customHeight="1" x14ac:dyDescent="0.2">
      <c r="A28" s="75"/>
      <c r="B28" s="76" t="s">
        <v>19</v>
      </c>
      <c r="C28" s="78" t="s">
        <v>21</v>
      </c>
      <c r="D28" s="54">
        <f t="shared" ref="D28:G28" si="13">D24+D27</f>
        <v>0</v>
      </c>
      <c r="E28" s="34">
        <f t="shared" si="13"/>
        <v>9052.4519044463432</v>
      </c>
      <c r="F28" s="34">
        <f t="shared" si="13"/>
        <v>32769.743816000002</v>
      </c>
      <c r="G28" s="34">
        <f t="shared" si="13"/>
        <v>13728.059050340014</v>
      </c>
      <c r="H28" s="57">
        <f>SUM(D28:G28)</f>
        <v>55550.254770786363</v>
      </c>
      <c r="I28" s="54">
        <f t="shared" ref="I28:L28" si="14">I24+I27</f>
        <v>0</v>
      </c>
      <c r="J28" s="34">
        <f t="shared" si="14"/>
        <v>1718.7341245</v>
      </c>
      <c r="K28" s="34">
        <f t="shared" si="14"/>
        <v>7656.4821999999995</v>
      </c>
      <c r="L28" s="34">
        <f t="shared" si="14"/>
        <v>960.77130658698525</v>
      </c>
      <c r="M28" s="57">
        <f>SUM(I28:L28)</f>
        <v>10335.987631086984</v>
      </c>
      <c r="N28" s="54">
        <f t="shared" ref="N28:Q28" si="15">N24+N27</f>
        <v>0</v>
      </c>
      <c r="O28" s="34">
        <f t="shared" si="15"/>
        <v>7609.4071590521989</v>
      </c>
      <c r="P28" s="34">
        <f t="shared" si="15"/>
        <v>29247.762003999997</v>
      </c>
      <c r="Q28" s="34">
        <f t="shared" si="15"/>
        <v>11837.552354199997</v>
      </c>
      <c r="R28" s="57">
        <f>SUM(N28:Q28)</f>
        <v>48694.721517252197</v>
      </c>
    </row>
    <row r="29" spans="1:21" ht="28.5" customHeight="1" x14ac:dyDescent="0.2">
      <c r="A29" s="159" t="s">
        <v>22</v>
      </c>
      <c r="B29" s="157"/>
      <c r="C29" s="158"/>
      <c r="D29" s="55"/>
      <c r="E29" s="35"/>
      <c r="F29" s="35"/>
      <c r="G29" s="35"/>
      <c r="H29" s="56"/>
      <c r="I29" s="55"/>
      <c r="J29" s="35"/>
      <c r="K29" s="35"/>
      <c r="L29" s="35"/>
      <c r="M29" s="56"/>
      <c r="N29" s="55"/>
      <c r="O29" s="35"/>
      <c r="P29" s="35"/>
      <c r="Q29" s="35"/>
      <c r="R29" s="56"/>
    </row>
    <row r="30" spans="1:21" ht="20.25" customHeight="1" x14ac:dyDescent="0.2">
      <c r="A30" s="75">
        <v>7</v>
      </c>
      <c r="B30" s="73" t="s">
        <v>68</v>
      </c>
      <c r="C30" s="74" t="s">
        <v>69</v>
      </c>
      <c r="D30" s="54"/>
      <c r="E30" s="34"/>
      <c r="F30" s="34"/>
      <c r="G30" s="37">
        <f>L30*3.64</f>
        <v>0</v>
      </c>
      <c r="H30" s="57">
        <f>SUM(D30:G30)</f>
        <v>0</v>
      </c>
      <c r="I30" s="54"/>
      <c r="J30" s="34"/>
      <c r="K30" s="34"/>
      <c r="L30" s="37">
        <f>Q30/3.53</f>
        <v>0</v>
      </c>
      <c r="M30" s="57">
        <f>L30</f>
        <v>0</v>
      </c>
      <c r="N30" s="54"/>
      <c r="O30" s="34"/>
      <c r="P30" s="34"/>
      <c r="Q30" s="123"/>
      <c r="R30" s="57">
        <f>Q30</f>
        <v>0</v>
      </c>
    </row>
    <row r="31" spans="1:21" ht="14.25" customHeight="1" x14ac:dyDescent="0.2">
      <c r="A31" s="32"/>
      <c r="B31" s="33" t="s">
        <v>19</v>
      </c>
      <c r="C31" s="48" t="s">
        <v>15</v>
      </c>
      <c r="D31" s="54"/>
      <c r="E31" s="34"/>
      <c r="F31" s="34"/>
      <c r="G31" s="34">
        <f>G30</f>
        <v>0</v>
      </c>
      <c r="H31" s="57">
        <f>SUM(D31:G31)</f>
        <v>0</v>
      </c>
      <c r="I31" s="54"/>
      <c r="J31" s="34"/>
      <c r="K31" s="34"/>
      <c r="L31" s="34">
        <f>L30</f>
        <v>0</v>
      </c>
      <c r="M31" s="57">
        <f>SUM(I31:L31)</f>
        <v>0</v>
      </c>
      <c r="N31" s="54"/>
      <c r="O31" s="34"/>
      <c r="P31" s="34"/>
      <c r="Q31" s="34">
        <f>Q30</f>
        <v>0</v>
      </c>
      <c r="R31" s="57">
        <f>SUM(N31:Q31)</f>
        <v>0</v>
      </c>
    </row>
    <row r="32" spans="1:21" ht="14.25" customHeight="1" x14ac:dyDescent="0.2">
      <c r="A32" s="32"/>
      <c r="B32" s="33" t="s">
        <v>19</v>
      </c>
      <c r="C32" s="49" t="s">
        <v>23</v>
      </c>
      <c r="D32" s="54">
        <f t="shared" ref="D32:G32" si="16">D28+D31</f>
        <v>0</v>
      </c>
      <c r="E32" s="34">
        <f t="shared" si="16"/>
        <v>9052.4519044463432</v>
      </c>
      <c r="F32" s="34">
        <f t="shared" si="16"/>
        <v>32769.743816000002</v>
      </c>
      <c r="G32" s="34">
        <f t="shared" si="16"/>
        <v>13728.059050340014</v>
      </c>
      <c r="H32" s="57">
        <f>SUM(D32:G32)</f>
        <v>55550.254770786363</v>
      </c>
      <c r="I32" s="54">
        <f t="shared" ref="I32:K32" si="17">I28+I31</f>
        <v>0</v>
      </c>
      <c r="J32" s="34">
        <f t="shared" si="17"/>
        <v>1718.7341245</v>
      </c>
      <c r="K32" s="34">
        <f t="shared" si="17"/>
        <v>7656.4821999999995</v>
      </c>
      <c r="L32" s="34">
        <f>L28+L31</f>
        <v>960.77130658698525</v>
      </c>
      <c r="M32" s="57">
        <f>SUM(I32:L32)</f>
        <v>10335.987631086984</v>
      </c>
      <c r="N32" s="54">
        <f t="shared" ref="N32:Q32" si="18">N28+N31</f>
        <v>0</v>
      </c>
      <c r="O32" s="34">
        <f t="shared" si="18"/>
        <v>7609.4071590521989</v>
      </c>
      <c r="P32" s="34">
        <f t="shared" si="18"/>
        <v>29247.762003999997</v>
      </c>
      <c r="Q32" s="34">
        <f t="shared" si="18"/>
        <v>11837.552354199997</v>
      </c>
      <c r="R32" s="57">
        <f>SUM(N32:Q32)</f>
        <v>48694.721517252197</v>
      </c>
    </row>
    <row r="33" spans="1:21" ht="14.25" customHeight="1" x14ac:dyDescent="0.2">
      <c r="A33" s="161"/>
      <c r="B33" s="162"/>
      <c r="C33" s="163"/>
      <c r="D33" s="55"/>
      <c r="E33" s="35"/>
      <c r="F33" s="35"/>
      <c r="G33" s="35"/>
      <c r="H33" s="56"/>
      <c r="I33" s="55"/>
      <c r="J33" s="35"/>
      <c r="K33" s="35"/>
      <c r="L33" s="35"/>
      <c r="M33" s="56"/>
      <c r="N33" s="55"/>
      <c r="O33" s="35"/>
      <c r="P33" s="35"/>
      <c r="Q33" s="35"/>
      <c r="R33" s="56"/>
    </row>
    <row r="34" spans="1:21" ht="34.5" customHeight="1" x14ac:dyDescent="0.2">
      <c r="A34" s="32">
        <v>8</v>
      </c>
      <c r="B34" s="17" t="s">
        <v>33</v>
      </c>
      <c r="C34" s="47" t="s">
        <v>24</v>
      </c>
      <c r="D34" s="54">
        <f>D32*3%</f>
        <v>0</v>
      </c>
      <c r="E34" s="34">
        <f>E32*3%</f>
        <v>271.5735571333903</v>
      </c>
      <c r="F34" s="34">
        <f>F32*3%</f>
        <v>983.09231448000003</v>
      </c>
      <c r="G34" s="34">
        <f>G32*3%</f>
        <v>411.84177151020043</v>
      </c>
      <c r="H34" s="57">
        <f>SUM(D34:G34)</f>
        <v>1666.5076431235907</v>
      </c>
      <c r="I34" s="54">
        <f>I32*3%</f>
        <v>0</v>
      </c>
      <c r="J34" s="34">
        <f>J32*3%</f>
        <v>51.562023734999997</v>
      </c>
      <c r="K34" s="34">
        <f>K32*3%</f>
        <v>229.69446599999998</v>
      </c>
      <c r="L34" s="34">
        <f>L32*3%</f>
        <v>28.823139197609557</v>
      </c>
      <c r="M34" s="57">
        <f>SUM(I34:L34)</f>
        <v>310.07962893260952</v>
      </c>
      <c r="N34" s="54">
        <f>N32*3%</f>
        <v>0</v>
      </c>
      <c r="O34" s="34">
        <f>O32*3%</f>
        <v>228.28221477156595</v>
      </c>
      <c r="P34" s="34">
        <f>P32*3%</f>
        <v>877.43286011999987</v>
      </c>
      <c r="Q34" s="34">
        <f>Q32*3%</f>
        <v>355.12657062599993</v>
      </c>
      <c r="R34" s="57">
        <f>SUM(N34:Q34)</f>
        <v>1460.8416455175657</v>
      </c>
    </row>
    <row r="35" spans="1:21" ht="14.25" customHeight="1" x14ac:dyDescent="0.2">
      <c r="A35" s="32"/>
      <c r="B35" s="33" t="s">
        <v>19</v>
      </c>
      <c r="C35" s="47" t="s">
        <v>5</v>
      </c>
      <c r="D35" s="58">
        <f t="shared" ref="D35:G35" si="19">D32+D34</f>
        <v>0</v>
      </c>
      <c r="E35" s="38">
        <f t="shared" si="19"/>
        <v>9324.025461579733</v>
      </c>
      <c r="F35" s="38">
        <f t="shared" si="19"/>
        <v>33752.836130480006</v>
      </c>
      <c r="G35" s="38">
        <f t="shared" si="19"/>
        <v>14139.900821850215</v>
      </c>
      <c r="H35" s="59">
        <f>SUM(D35:G35)</f>
        <v>57216.76241390995</v>
      </c>
      <c r="I35" s="58">
        <f t="shared" ref="I35:L35" si="20">I32+I34</f>
        <v>0</v>
      </c>
      <c r="J35" s="38">
        <f t="shared" si="20"/>
        <v>1770.2961482349999</v>
      </c>
      <c r="K35" s="38">
        <f t="shared" si="20"/>
        <v>7886.1766659999994</v>
      </c>
      <c r="L35" s="38">
        <f t="shared" si="20"/>
        <v>989.59444578459477</v>
      </c>
      <c r="M35" s="59">
        <f>SUM(I35:L35)</f>
        <v>10646.067260019594</v>
      </c>
      <c r="N35" s="58">
        <f>N32+N34</f>
        <v>0</v>
      </c>
      <c r="O35" s="38">
        <f t="shared" ref="O35:Q35" si="21">O32+O34</f>
        <v>7837.689373823765</v>
      </c>
      <c r="P35" s="38">
        <f t="shared" si="21"/>
        <v>30125.194864119996</v>
      </c>
      <c r="Q35" s="38">
        <f t="shared" si="21"/>
        <v>12192.678924825997</v>
      </c>
      <c r="R35" s="59">
        <f>SUM(N35:Q35)</f>
        <v>50155.563162769758</v>
      </c>
    </row>
    <row r="36" spans="1:21" ht="29.25" customHeight="1" x14ac:dyDescent="0.2">
      <c r="A36" s="32"/>
      <c r="B36" s="33"/>
      <c r="C36" s="47" t="s">
        <v>91</v>
      </c>
      <c r="D36" s="58"/>
      <c r="E36" s="38"/>
      <c r="F36" s="38"/>
      <c r="G36" s="38"/>
      <c r="H36" s="60"/>
      <c r="I36" s="58"/>
      <c r="J36" s="38"/>
      <c r="K36" s="38"/>
      <c r="L36" s="38"/>
      <c r="M36" s="59"/>
      <c r="N36" s="68">
        <f>N35*1.06*1.049*1.143*1.06*1.05*1.045</f>
        <v>0</v>
      </c>
      <c r="O36" s="124">
        <f>O35*1.06*1.049*1.143*1.081*1.054*1.044*1.046*1.039*1.04</f>
        <v>13392.541663115828</v>
      </c>
      <c r="P36" s="124">
        <f>P35*1.06*1.049*1.143*1.081*1.054*1.044*1.046*1.039*1.04</f>
        <v>51476.003715413593</v>
      </c>
      <c r="Q36" s="124">
        <f>Q35*1.06*1.049*1.143*1.081*1.054*1.044*1.046*1.039*1.04</f>
        <v>20834.068906977092</v>
      </c>
      <c r="R36" s="59">
        <f>N36+O36+P36+Q36</f>
        <v>85702.614285506512</v>
      </c>
      <c r="T36" s="1">
        <v>0.7</v>
      </c>
    </row>
    <row r="37" spans="1:21" ht="14.25" customHeight="1" x14ac:dyDescent="0.2">
      <c r="A37" s="32"/>
      <c r="B37" s="33"/>
      <c r="C37" s="47" t="s">
        <v>30</v>
      </c>
      <c r="D37" s="58"/>
      <c r="E37" s="38"/>
      <c r="F37" s="38"/>
      <c r="G37" s="38"/>
      <c r="H37" s="60"/>
      <c r="I37" s="58"/>
      <c r="J37" s="38"/>
      <c r="K37" s="38"/>
      <c r="L37" s="38"/>
      <c r="M37" s="59"/>
      <c r="N37" s="68">
        <f>N36*$T$36</f>
        <v>0</v>
      </c>
      <c r="O37" s="37">
        <f t="shared" ref="O37" si="22">O36*$T$36</f>
        <v>9374.7791641810782</v>
      </c>
      <c r="P37" s="37">
        <f>P36*$T$36</f>
        <v>36033.202600789511</v>
      </c>
      <c r="Q37" s="37">
        <f>(Q36-Q30)*$T$36+Q30</f>
        <v>14583.848234883964</v>
      </c>
      <c r="R37" s="59">
        <f>N37+O37+P37+Q37</f>
        <v>59991.829999854555</v>
      </c>
      <c r="U37" s="114" t="s">
        <v>92</v>
      </c>
    </row>
    <row r="38" spans="1:21" ht="14.25" customHeight="1" x14ac:dyDescent="0.2">
      <c r="A38" s="32"/>
      <c r="B38" s="39" t="s">
        <v>19</v>
      </c>
      <c r="C38" s="47" t="s">
        <v>16</v>
      </c>
      <c r="D38" s="61">
        <f>D35</f>
        <v>0</v>
      </c>
      <c r="E38" s="40">
        <f>E35</f>
        <v>9324.025461579733</v>
      </c>
      <c r="F38" s="40">
        <f>F35</f>
        <v>33752.836130480006</v>
      </c>
      <c r="G38" s="40">
        <f>G35</f>
        <v>14139.900821850215</v>
      </c>
      <c r="H38" s="62">
        <f>D38+E38+F38+G38</f>
        <v>57216.76241390995</v>
      </c>
      <c r="I38" s="61">
        <f>I35</f>
        <v>0</v>
      </c>
      <c r="J38" s="40">
        <f>J35</f>
        <v>1770.2961482349999</v>
      </c>
      <c r="K38" s="40">
        <f>K35</f>
        <v>7886.1766659999994</v>
      </c>
      <c r="L38" s="40">
        <f>L35</f>
        <v>989.59444578459477</v>
      </c>
      <c r="M38" s="62">
        <f>I38+J38+K38+L38</f>
        <v>10646.067260019594</v>
      </c>
      <c r="N38" s="61">
        <f>N37</f>
        <v>0</v>
      </c>
      <c r="O38" s="40">
        <f>O37</f>
        <v>9374.7791641810782</v>
      </c>
      <c r="P38" s="40">
        <f>P37</f>
        <v>36033.202600789511</v>
      </c>
      <c r="Q38" s="40">
        <f>Q37</f>
        <v>14583.848234883964</v>
      </c>
      <c r="R38" s="62">
        <f>N38+O38+P38+Q38</f>
        <v>59991.829999854555</v>
      </c>
      <c r="S38" s="115"/>
      <c r="U38" s="1">
        <v>76000</v>
      </c>
    </row>
    <row r="39" spans="1:21" ht="14.25" customHeight="1" x14ac:dyDescent="0.2">
      <c r="A39" s="36"/>
      <c r="B39" s="39" t="s">
        <v>19</v>
      </c>
      <c r="C39" s="47" t="s">
        <v>17</v>
      </c>
      <c r="D39" s="54">
        <f>D38*0.18</f>
        <v>0</v>
      </c>
      <c r="E39" s="34">
        <f>E38*0.18</f>
        <v>1678.3245830843518</v>
      </c>
      <c r="F39" s="34">
        <f t="shared" ref="F39:G39" si="23">F38*0.18</f>
        <v>6075.5105034864009</v>
      </c>
      <c r="G39" s="34">
        <f t="shared" si="23"/>
        <v>2545.1821479330388</v>
      </c>
      <c r="H39" s="57">
        <f>D39+E39+F39+G39</f>
        <v>10299.017234503792</v>
      </c>
      <c r="I39" s="54">
        <f>I38*0.18</f>
        <v>0</v>
      </c>
      <c r="J39" s="34">
        <f>J38*0.18</f>
        <v>318.65330668229996</v>
      </c>
      <c r="K39" s="34">
        <f t="shared" ref="K39:L39" si="24">K38*0.18</f>
        <v>1419.5117998799999</v>
      </c>
      <c r="L39" s="34">
        <f t="shared" si="24"/>
        <v>178.12700024122705</v>
      </c>
      <c r="M39" s="57">
        <f>I39+J39+K39+L39</f>
        <v>1916.2921068035268</v>
      </c>
      <c r="N39" s="54">
        <f>N38*0.18</f>
        <v>0</v>
      </c>
      <c r="O39" s="34">
        <f>O38*0.18</f>
        <v>1687.460249552594</v>
      </c>
      <c r="P39" s="34">
        <f t="shared" ref="P39:Q39" si="25">P38*0.18</f>
        <v>6485.976468142112</v>
      </c>
      <c r="Q39" s="34">
        <f t="shared" si="25"/>
        <v>2625.0926822791134</v>
      </c>
      <c r="R39" s="57">
        <f>N39+O39+P39+Q39</f>
        <v>10798.529399973821</v>
      </c>
    </row>
    <row r="40" spans="1:21" ht="32.25" customHeight="1" thickBot="1" x14ac:dyDescent="0.25">
      <c r="A40" s="32"/>
      <c r="B40" s="39" t="s">
        <v>19</v>
      </c>
      <c r="C40" s="47" t="s">
        <v>18</v>
      </c>
      <c r="D40" s="63">
        <f>D38+D39</f>
        <v>0</v>
      </c>
      <c r="E40" s="64">
        <f>E38+E39</f>
        <v>11002.350044664085</v>
      </c>
      <c r="F40" s="64">
        <f t="shared" ref="F40:G40" si="26">F38+F39</f>
        <v>39828.346633966408</v>
      </c>
      <c r="G40" s="64">
        <f t="shared" si="26"/>
        <v>16685.082969783252</v>
      </c>
      <c r="H40" s="65">
        <f>D40+E40+F40+G40</f>
        <v>67515.779648413736</v>
      </c>
      <c r="I40" s="63">
        <f>I38+I39</f>
        <v>0</v>
      </c>
      <c r="J40" s="64">
        <f>J38+J39</f>
        <v>2088.9494549173</v>
      </c>
      <c r="K40" s="64">
        <f t="shared" ref="K40:L40" si="27">K38+K39</f>
        <v>9305.6884658799991</v>
      </c>
      <c r="L40" s="64">
        <f t="shared" si="27"/>
        <v>1167.7214460258219</v>
      </c>
      <c r="M40" s="65">
        <f>I40+J40+K40+L40</f>
        <v>12562.359366823121</v>
      </c>
      <c r="N40" s="63">
        <f>N38+N39</f>
        <v>0</v>
      </c>
      <c r="O40" s="64">
        <f>O38+O39</f>
        <v>11062.239413733672</v>
      </c>
      <c r="P40" s="64">
        <f t="shared" ref="P40:Q40" si="28">P38+P39</f>
        <v>42519.179068931626</v>
      </c>
      <c r="Q40" s="64">
        <f t="shared" si="28"/>
        <v>17208.940917163076</v>
      </c>
      <c r="R40" s="65">
        <f>N40+O40+P40+Q40</f>
        <v>70790.359399828376</v>
      </c>
      <c r="T40" s="91"/>
    </row>
    <row r="41" spans="1:21" ht="9.75" customHeight="1" x14ac:dyDescent="0.2">
      <c r="A41" s="16" t="s">
        <v>19</v>
      </c>
      <c r="B41" s="164" t="s">
        <v>19</v>
      </c>
      <c r="C41" s="165"/>
      <c r="D41" s="166" t="s">
        <v>19</v>
      </c>
      <c r="E41" s="167"/>
      <c r="F41" s="168" t="s">
        <v>19</v>
      </c>
      <c r="G41" s="169"/>
      <c r="H41" s="169"/>
      <c r="I41" s="4"/>
      <c r="J41" s="4"/>
      <c r="K41" s="4"/>
      <c r="L41" s="4"/>
      <c r="M41" s="29"/>
    </row>
    <row r="42" spans="1:21" ht="20.25" customHeight="1" x14ac:dyDescent="0.25">
      <c r="A42" s="16"/>
      <c r="B42" s="116" t="s">
        <v>39</v>
      </c>
      <c r="C42" s="177" t="s">
        <v>71</v>
      </c>
      <c r="D42" s="177"/>
      <c r="E42" s="69"/>
      <c r="G42" s="97" t="s">
        <v>72</v>
      </c>
      <c r="H42" s="69"/>
      <c r="I42" s="69"/>
      <c r="J42" s="7"/>
      <c r="K42" s="7"/>
      <c r="L42" s="7"/>
      <c r="M42" s="7"/>
      <c r="N42" s="155"/>
      <c r="O42" s="155"/>
      <c r="P42" s="155"/>
      <c r="Q42" s="84"/>
      <c r="R42" s="83"/>
      <c r="T42" s="70"/>
    </row>
    <row r="43" spans="1:21" ht="20.25" customHeight="1" x14ac:dyDescent="0.2">
      <c r="A43" s="16"/>
      <c r="B43" s="117"/>
      <c r="C43" s="118"/>
      <c r="D43" s="118"/>
      <c r="E43" s="118"/>
      <c r="F43" s="118"/>
      <c r="G43" s="118"/>
      <c r="H43" s="118"/>
      <c r="I43" s="119"/>
      <c r="J43" s="7"/>
      <c r="K43" s="7"/>
      <c r="L43" s="176" t="s">
        <v>27</v>
      </c>
      <c r="M43" s="176"/>
      <c r="N43" s="155"/>
      <c r="O43" s="155"/>
      <c r="P43" s="155"/>
    </row>
    <row r="44" spans="1:21" ht="27.6" customHeight="1" x14ac:dyDescent="0.25">
      <c r="A44" s="16"/>
      <c r="B44" s="116" t="s">
        <v>40</v>
      </c>
      <c r="C44" s="177" t="s">
        <v>73</v>
      </c>
      <c r="D44" s="177"/>
      <c r="E44" s="69"/>
      <c r="G44" s="97" t="s">
        <v>74</v>
      </c>
      <c r="H44" s="69"/>
      <c r="I44" s="69"/>
      <c r="J44" s="6" t="s">
        <v>28</v>
      </c>
      <c r="K44" s="6"/>
      <c r="L44" s="176"/>
      <c r="M44" s="176"/>
      <c r="N44" s="155"/>
      <c r="O44" s="155"/>
      <c r="P44" s="155"/>
      <c r="T44" s="70"/>
    </row>
    <row r="45" spans="1:21" ht="26.45" customHeight="1" x14ac:dyDescent="0.2">
      <c r="B45" s="120"/>
      <c r="C45" s="176"/>
      <c r="D45" s="176"/>
      <c r="E45" s="176"/>
      <c r="F45" s="176"/>
      <c r="G45" s="176"/>
      <c r="H45" s="112"/>
      <c r="I45" s="112"/>
      <c r="J45" s="111" t="s">
        <v>29</v>
      </c>
      <c r="K45" s="111"/>
      <c r="L45" s="111"/>
      <c r="M45" s="111"/>
      <c r="N45" s="102"/>
      <c r="O45" s="102"/>
      <c r="P45" s="102"/>
    </row>
    <row r="46" spans="1:21" ht="28.15" customHeight="1" x14ac:dyDescent="0.25">
      <c r="G46" s="112"/>
      <c r="H46" s="112"/>
      <c r="I46" s="112"/>
      <c r="J46" s="121"/>
      <c r="K46" s="104"/>
      <c r="L46" s="179" t="s">
        <v>75</v>
      </c>
      <c r="M46" s="179"/>
      <c r="N46" s="97" t="s">
        <v>76</v>
      </c>
      <c r="O46" s="97"/>
      <c r="P46" s="97"/>
    </row>
    <row r="47" spans="1:21" ht="25.9" customHeight="1" x14ac:dyDescent="0.25">
      <c r="B47" s="111" t="s">
        <v>27</v>
      </c>
      <c r="C47" s="111"/>
      <c r="D47" s="111"/>
      <c r="E47" s="111"/>
      <c r="F47" s="111"/>
      <c r="G47" s="107"/>
      <c r="H47" s="107"/>
      <c r="I47" s="107"/>
      <c r="J47" s="179" t="s">
        <v>77</v>
      </c>
      <c r="K47" s="179"/>
      <c r="L47" s="179"/>
      <c r="M47" s="179"/>
      <c r="N47" s="155"/>
      <c r="O47" s="155"/>
      <c r="P47" s="155"/>
      <c r="R47" s="2"/>
    </row>
    <row r="48" spans="1:21" ht="36" customHeight="1" x14ac:dyDescent="0.25">
      <c r="B48" s="173" t="s">
        <v>44</v>
      </c>
      <c r="C48" s="173"/>
      <c r="D48" s="173"/>
      <c r="E48" s="173"/>
      <c r="F48" s="97" t="s">
        <v>78</v>
      </c>
      <c r="G48" s="106"/>
      <c r="H48" s="10"/>
      <c r="I48" s="107"/>
      <c r="J48" s="121"/>
      <c r="K48" s="108"/>
      <c r="L48" s="108"/>
      <c r="M48" s="108"/>
      <c r="N48" s="155"/>
      <c r="O48" s="155"/>
      <c r="P48" s="155"/>
      <c r="R48" s="8"/>
    </row>
    <row r="49" spans="2:10" ht="15.75" x14ac:dyDescent="0.25">
      <c r="B49" s="10"/>
      <c r="C49" s="10"/>
      <c r="D49" s="10"/>
      <c r="E49" s="10"/>
      <c r="F49" s="10"/>
      <c r="I49" s="121"/>
      <c r="J49" s="121"/>
    </row>
    <row r="50" spans="2:10" ht="15.75" x14ac:dyDescent="0.25">
      <c r="B50" s="10"/>
      <c r="C50" s="10"/>
      <c r="D50" s="10"/>
      <c r="E50" s="10"/>
      <c r="F50" s="10"/>
      <c r="J50" s="121"/>
    </row>
    <row r="51" spans="2:10" ht="15" x14ac:dyDescent="0.25">
      <c r="B51" s="111" t="s">
        <v>27</v>
      </c>
      <c r="C51" s="111"/>
      <c r="D51" s="111"/>
      <c r="E51" s="111"/>
      <c r="F51" s="111"/>
      <c r="G51" s="121"/>
      <c r="H51" s="121"/>
      <c r="I51" s="121"/>
      <c r="J51" s="121"/>
    </row>
    <row r="52" spans="2:10" ht="32.25" customHeight="1" x14ac:dyDescent="0.25">
      <c r="B52" s="174" t="s">
        <v>45</v>
      </c>
      <c r="C52" s="174"/>
      <c r="D52" s="174"/>
      <c r="E52" s="174"/>
      <c r="F52" s="97" t="s">
        <v>79</v>
      </c>
      <c r="G52" s="106"/>
      <c r="I52" s="110"/>
      <c r="J52" s="121"/>
    </row>
    <row r="53" spans="2:10" ht="15" x14ac:dyDescent="0.25">
      <c r="B53" s="178"/>
      <c r="C53" s="178"/>
      <c r="D53" s="178"/>
      <c r="E53" s="178"/>
      <c r="F53" s="178"/>
      <c r="G53" s="121"/>
      <c r="I53" s="121"/>
      <c r="J53" s="121"/>
    </row>
  </sheetData>
  <mergeCells count="35">
    <mergeCell ref="B53:F53"/>
    <mergeCell ref="L46:M46"/>
    <mergeCell ref="J47:M47"/>
    <mergeCell ref="N47:P47"/>
    <mergeCell ref="B48:E48"/>
    <mergeCell ref="N48:P48"/>
    <mergeCell ref="B52:E52"/>
    <mergeCell ref="L43:M43"/>
    <mergeCell ref="N43:P43"/>
    <mergeCell ref="C44:D44"/>
    <mergeCell ref="L44:M44"/>
    <mergeCell ref="N44:P44"/>
    <mergeCell ref="C45:G45"/>
    <mergeCell ref="A33:C33"/>
    <mergeCell ref="B41:C41"/>
    <mergeCell ref="D41:E41"/>
    <mergeCell ref="F41:H41"/>
    <mergeCell ref="C42:D42"/>
    <mergeCell ref="N42:P42"/>
    <mergeCell ref="A8:C8"/>
    <mergeCell ref="A11:C11"/>
    <mergeCell ref="A17:C17"/>
    <mergeCell ref="A21:C21"/>
    <mergeCell ref="A25:C25"/>
    <mergeCell ref="A29:C29"/>
    <mergeCell ref="B2:M2"/>
    <mergeCell ref="P2:R2"/>
    <mergeCell ref="A3:H3"/>
    <mergeCell ref="P3:R3"/>
    <mergeCell ref="A5:A6"/>
    <mergeCell ref="B5:B6"/>
    <mergeCell ref="C5:C6"/>
    <mergeCell ref="D5:H5"/>
    <mergeCell ref="I5:M5"/>
    <mergeCell ref="N5:R5"/>
  </mergeCells>
  <conditionalFormatting sqref="G44 G42 F52 H48 B48 B52 F48 N46:P46">
    <cfRule type="cellIs" dxfId="6" priority="1" operator="equal">
      <formula>0</formula>
    </cfRule>
  </conditionalFormatting>
  <pageMargins left="0.55118110236220474" right="0.35433070866141736" top="0.15748031496062992" bottom="0.15748031496062992" header="0.51181102362204722" footer="7.874015748031496E-2"/>
  <pageSetup paperSize="8" scale="78" orientation="landscape" r:id="rId1"/>
  <headerFooter alignWithMargins="0">
    <oddFooter>Страница  &amp;P из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5"/>
  <sheetViews>
    <sheetView zoomScale="90" zoomScaleNormal="9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E8" sqref="E8"/>
    </sheetView>
  </sheetViews>
  <sheetFormatPr defaultRowHeight="15" x14ac:dyDescent="0.25"/>
  <cols>
    <col min="1" max="1" width="10.28515625" style="185" customWidth="1"/>
    <col min="2" max="2" width="12.140625" style="185" customWidth="1"/>
    <col min="3" max="3" width="43" style="185" customWidth="1"/>
    <col min="4" max="4" width="12.28515625" style="185" customWidth="1"/>
    <col min="5" max="6" width="10.42578125" style="185" customWidth="1"/>
    <col min="7" max="8" width="11.42578125" style="185" customWidth="1"/>
    <col min="9" max="9" width="11.85546875" style="185" customWidth="1"/>
    <col min="10" max="10" width="14.85546875" style="185" customWidth="1"/>
    <col min="11" max="11" width="15.85546875" style="185" customWidth="1"/>
    <col min="12" max="12" width="9.5703125" style="185" customWidth="1"/>
    <col min="13" max="14" width="9.85546875" style="185" customWidth="1"/>
    <col min="15" max="15" width="9.7109375" style="185" customWidth="1"/>
    <col min="16" max="17" width="9.85546875" style="185" customWidth="1"/>
    <col min="18" max="18" width="11.28515625" style="185" customWidth="1"/>
    <col min="19" max="19" width="12" style="185" customWidth="1"/>
    <col min="20" max="20" width="11.7109375" style="185" customWidth="1"/>
    <col min="21" max="21" width="11.42578125" style="185" customWidth="1"/>
    <col min="22" max="22" width="11.7109375" style="185" customWidth="1"/>
    <col min="23" max="23" width="11.5703125" style="185" customWidth="1"/>
    <col min="24" max="24" width="14.42578125" style="185" customWidth="1"/>
    <col min="25" max="26" width="9.140625" style="185"/>
    <col min="27" max="27" width="11.7109375" style="185" customWidth="1"/>
    <col min="28" max="28" width="14.140625" style="185" customWidth="1"/>
    <col min="29" max="16384" width="9.140625" style="185"/>
  </cols>
  <sheetData>
    <row r="1" spans="1:34" x14ac:dyDescent="0.25">
      <c r="W1" s="186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187"/>
    </row>
    <row r="2" spans="1:34" s="188" customFormat="1" ht="34.5" customHeight="1" x14ac:dyDescent="0.25">
      <c r="B2" s="189" t="s">
        <v>56</v>
      </c>
      <c r="C2" s="189"/>
      <c r="D2" s="189"/>
      <c r="E2" s="189"/>
      <c r="F2" s="189"/>
      <c r="G2" s="189"/>
      <c r="H2" s="189"/>
      <c r="I2" s="189"/>
      <c r="J2" s="190" t="s">
        <v>55</v>
      </c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</row>
    <row r="3" spans="1:34" ht="15.75" thickBot="1" x14ac:dyDescent="0.3">
      <c r="L3" s="192"/>
      <c r="M3" s="192"/>
      <c r="N3" s="192"/>
      <c r="O3" s="192"/>
      <c r="P3" s="192"/>
      <c r="Q3" s="192"/>
      <c r="R3" s="193"/>
      <c r="S3" s="193"/>
      <c r="T3" s="193"/>
      <c r="U3" s="185">
        <f>A8</f>
        <v>2021</v>
      </c>
      <c r="V3" s="185" t="s">
        <v>112</v>
      </c>
      <c r="W3" s="187"/>
      <c r="X3" s="187"/>
      <c r="Y3" s="187"/>
      <c r="Z3" s="187"/>
      <c r="AA3" s="187"/>
      <c r="AB3" s="187"/>
      <c r="AC3" s="187"/>
      <c r="AD3" s="187"/>
      <c r="AE3" s="187"/>
      <c r="AF3" s="187"/>
      <c r="AG3" s="187"/>
      <c r="AH3" s="187"/>
    </row>
    <row r="4" spans="1:34" ht="15" customHeight="1" x14ac:dyDescent="0.25">
      <c r="A4" s="194" t="s">
        <v>46</v>
      </c>
      <c r="B4" s="195" t="s">
        <v>47</v>
      </c>
      <c r="C4" s="195" t="s">
        <v>48</v>
      </c>
      <c r="D4" s="196" t="s">
        <v>113</v>
      </c>
      <c r="E4" s="197" t="s">
        <v>49</v>
      </c>
      <c r="F4" s="198"/>
      <c r="G4" s="198"/>
      <c r="H4" s="199"/>
      <c r="I4" s="200" t="s">
        <v>114</v>
      </c>
      <c r="J4" s="201"/>
      <c r="K4" s="202"/>
      <c r="L4" s="200" t="s">
        <v>115</v>
      </c>
      <c r="M4" s="201"/>
      <c r="N4" s="201"/>
      <c r="O4" s="201"/>
      <c r="P4" s="201"/>
      <c r="Q4" s="202"/>
      <c r="R4" s="203" t="s">
        <v>50</v>
      </c>
      <c r="S4" s="204" t="s">
        <v>116</v>
      </c>
      <c r="T4" s="205" t="s">
        <v>117</v>
      </c>
      <c r="U4" s="206" t="s">
        <v>118</v>
      </c>
      <c r="V4" s="207" t="s">
        <v>51</v>
      </c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</row>
    <row r="5" spans="1:34" ht="94.5" customHeight="1" x14ac:dyDescent="0.25">
      <c r="A5" s="208"/>
      <c r="B5" s="209"/>
      <c r="C5" s="209"/>
      <c r="D5" s="210"/>
      <c r="E5" s="211" t="s">
        <v>119</v>
      </c>
      <c r="F5" s="212" t="s">
        <v>120</v>
      </c>
      <c r="G5" s="212" t="s">
        <v>121</v>
      </c>
      <c r="H5" s="213" t="s">
        <v>122</v>
      </c>
      <c r="I5" s="214" t="s">
        <v>123</v>
      </c>
      <c r="J5" s="215"/>
      <c r="K5" s="216" t="s">
        <v>124</v>
      </c>
      <c r="L5" s="214" t="s">
        <v>123</v>
      </c>
      <c r="M5" s="217"/>
      <c r="N5" s="215"/>
      <c r="O5" s="218" t="s">
        <v>124</v>
      </c>
      <c r="P5" s="217"/>
      <c r="Q5" s="219"/>
      <c r="R5" s="220"/>
      <c r="S5" s="221"/>
      <c r="T5" s="222"/>
      <c r="U5" s="223"/>
      <c r="V5" s="224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</row>
    <row r="6" spans="1:34" ht="132.75" thickBot="1" x14ac:dyDescent="0.3">
      <c r="A6" s="225"/>
      <c r="B6" s="226"/>
      <c r="C6" s="226"/>
      <c r="D6" s="227"/>
      <c r="E6" s="228"/>
      <c r="F6" s="229"/>
      <c r="G6" s="229"/>
      <c r="H6" s="230"/>
      <c r="I6" s="231" t="s">
        <v>125</v>
      </c>
      <c r="J6" s="232" t="s">
        <v>126</v>
      </c>
      <c r="K6" s="233" t="s">
        <v>127</v>
      </c>
      <c r="L6" s="234" t="s">
        <v>52</v>
      </c>
      <c r="M6" s="235" t="s">
        <v>53</v>
      </c>
      <c r="N6" s="235" t="s">
        <v>54</v>
      </c>
      <c r="O6" s="235" t="s">
        <v>52</v>
      </c>
      <c r="P6" s="235" t="s">
        <v>53</v>
      </c>
      <c r="Q6" s="236" t="s">
        <v>54</v>
      </c>
      <c r="R6" s="237"/>
      <c r="S6" s="238"/>
      <c r="T6" s="239"/>
      <c r="U6" s="240"/>
      <c r="V6" s="241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</row>
    <row r="7" spans="1:34" s="256" customFormat="1" x14ac:dyDescent="0.25">
      <c r="A7" s="242">
        <v>1</v>
      </c>
      <c r="B7" s="243">
        <v>2</v>
      </c>
      <c r="C7" s="243">
        <v>3</v>
      </c>
      <c r="D7" s="244">
        <v>4</v>
      </c>
      <c r="E7" s="245">
        <v>5</v>
      </c>
      <c r="F7" s="246">
        <v>6</v>
      </c>
      <c r="G7" s="246">
        <v>7</v>
      </c>
      <c r="H7" s="247">
        <v>8</v>
      </c>
      <c r="I7" s="248">
        <v>9</v>
      </c>
      <c r="J7" s="249">
        <v>10</v>
      </c>
      <c r="K7" s="250">
        <v>11</v>
      </c>
      <c r="L7" s="251">
        <v>12</v>
      </c>
      <c r="M7" s="252">
        <v>13</v>
      </c>
      <c r="N7" s="252">
        <v>14</v>
      </c>
      <c r="O7" s="252">
        <v>15</v>
      </c>
      <c r="P7" s="252">
        <v>16</v>
      </c>
      <c r="Q7" s="253">
        <v>17</v>
      </c>
      <c r="R7" s="254">
        <v>18</v>
      </c>
      <c r="S7" s="242">
        <v>19</v>
      </c>
      <c r="T7" s="243">
        <v>20</v>
      </c>
      <c r="U7" s="243">
        <v>21</v>
      </c>
      <c r="V7" s="255">
        <v>22</v>
      </c>
      <c r="W7" s="187"/>
      <c r="X7" s="187"/>
      <c r="Y7" s="187"/>
      <c r="Z7" s="187"/>
      <c r="AA7" s="187"/>
      <c r="AB7" s="187"/>
      <c r="AC7" s="187"/>
      <c r="AD7" s="187"/>
      <c r="AE7" s="187"/>
      <c r="AF7" s="187"/>
      <c r="AG7" s="187"/>
      <c r="AH7" s="187"/>
    </row>
    <row r="8" spans="1:34" ht="84.75" customHeight="1" thickBot="1" x14ac:dyDescent="0.3">
      <c r="A8" s="257">
        <v>2021</v>
      </c>
      <c r="B8" s="258" t="str">
        <f>J2</f>
        <v>F_003-56-1-05.20-0000</v>
      </c>
      <c r="C8" s="259" t="s">
        <v>57</v>
      </c>
      <c r="D8" s="260">
        <v>487727.45269000001</v>
      </c>
      <c r="E8" s="261">
        <v>0</v>
      </c>
      <c r="F8" s="262">
        <v>76529.620790000001</v>
      </c>
      <c r="G8" s="262">
        <v>309881.63075000001</v>
      </c>
      <c r="H8" s="263">
        <f>IFERROR(D8-E8-F8-G8,"#Ошибка!")</f>
        <v>101316.20114999998</v>
      </c>
      <c r="I8" s="264">
        <v>233241.17040999999</v>
      </c>
      <c r="J8" s="262">
        <v>0</v>
      </c>
      <c r="K8" s="265">
        <v>237772.94566999999</v>
      </c>
      <c r="L8" s="261">
        <v>6086.7573899999998</v>
      </c>
      <c r="M8" s="262">
        <v>7673.9890299999997</v>
      </c>
      <c r="N8" s="262">
        <v>0</v>
      </c>
      <c r="O8" s="262">
        <v>2952.5901899999999</v>
      </c>
      <c r="P8" s="262">
        <v>0</v>
      </c>
      <c r="Q8" s="263">
        <v>0</v>
      </c>
      <c r="R8" s="266">
        <f>IFERROR(SUM(I8:Q8),"#Ошибка!")</f>
        <v>487727.45268999995</v>
      </c>
      <c r="S8" s="261">
        <v>267728.59036999999</v>
      </c>
      <c r="T8" s="262">
        <v>21256.737130000001</v>
      </c>
      <c r="U8" s="262">
        <f>IFERROR(ROUND(K8*1.2+T8+O8+P8+Q8,5),"#Ошибка!")</f>
        <v>309536.86212000001</v>
      </c>
      <c r="V8" s="267">
        <f>IFERROR(S8+U8,"#Ошибка!")</f>
        <v>577265.45249000005</v>
      </c>
      <c r="W8" s="268"/>
      <c r="X8" s="269"/>
      <c r="Y8" s="270"/>
      <c r="Z8" s="187"/>
      <c r="AA8" s="270"/>
      <c r="AB8" s="270"/>
      <c r="AD8" s="187"/>
      <c r="AE8" s="187"/>
      <c r="AF8" s="187"/>
      <c r="AG8" s="187"/>
      <c r="AH8" s="187"/>
    </row>
    <row r="9" spans="1:34" s="275" customFormat="1" ht="12.75" x14ac:dyDescent="0.2">
      <c r="A9" s="271"/>
      <c r="B9" s="272"/>
      <c r="C9" s="272"/>
      <c r="D9" s="273"/>
      <c r="E9" s="273"/>
      <c r="F9" s="273"/>
      <c r="G9" s="273"/>
      <c r="H9" s="273"/>
      <c r="I9" s="273"/>
      <c r="J9" s="273"/>
      <c r="K9" s="273"/>
      <c r="L9" s="273"/>
      <c r="M9" s="273"/>
      <c r="N9" s="273"/>
      <c r="O9" s="273"/>
      <c r="P9" s="273"/>
      <c r="Q9" s="273"/>
      <c r="R9" s="274"/>
      <c r="S9" s="274"/>
      <c r="T9" s="274"/>
      <c r="U9" s="274"/>
      <c r="V9" s="274"/>
    </row>
    <row r="10" spans="1:34" s="275" customFormat="1" ht="58.5" customHeight="1" x14ac:dyDescent="0.2">
      <c r="A10" s="271"/>
      <c r="B10" s="272"/>
      <c r="C10" s="272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4"/>
      <c r="S10" s="274"/>
      <c r="T10" s="274"/>
      <c r="U10" s="274"/>
      <c r="V10" s="274"/>
    </row>
    <row r="11" spans="1:34" s="275" customFormat="1" ht="12.75" x14ac:dyDescent="0.2">
      <c r="A11" s="271"/>
      <c r="B11" s="272"/>
      <c r="C11" s="272"/>
      <c r="D11" s="273"/>
      <c r="E11" s="273"/>
      <c r="F11" s="273"/>
      <c r="G11" s="273"/>
      <c r="H11" s="273"/>
      <c r="I11" s="273"/>
      <c r="J11" s="273"/>
      <c r="K11" s="273"/>
      <c r="L11" s="273"/>
      <c r="M11" s="273"/>
      <c r="N11" s="273"/>
      <c r="O11" s="273"/>
      <c r="P11" s="273"/>
      <c r="Q11" s="273"/>
      <c r="R11" s="274"/>
      <c r="S11" s="274"/>
      <c r="T11" s="274"/>
      <c r="U11" s="274"/>
      <c r="V11" s="274"/>
    </row>
    <row r="12" spans="1:34" s="275" customFormat="1" ht="12.75" x14ac:dyDescent="0.2">
      <c r="A12" s="271"/>
      <c r="B12" s="272"/>
      <c r="C12" s="272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  <c r="R12" s="274"/>
      <c r="S12" s="274"/>
      <c r="T12" s="274"/>
      <c r="U12" s="274"/>
      <c r="V12" s="274"/>
    </row>
    <row r="13" spans="1:34" x14ac:dyDescent="0.25">
      <c r="W13" s="187"/>
      <c r="X13" s="187"/>
      <c r="Y13" s="187"/>
      <c r="Z13" s="187"/>
      <c r="AA13" s="187"/>
      <c r="AB13" s="187"/>
      <c r="AC13" s="187"/>
      <c r="AD13" s="187"/>
      <c r="AE13" s="187"/>
      <c r="AF13" s="187"/>
      <c r="AG13" s="187"/>
      <c r="AH13" s="187"/>
    </row>
    <row r="14" spans="1:34" ht="28.5" customHeight="1" x14ac:dyDescent="0.25">
      <c r="B14" s="276"/>
      <c r="C14" s="276"/>
      <c r="D14" s="193"/>
      <c r="E14" s="277"/>
      <c r="F14" s="193"/>
      <c r="G14" s="193"/>
      <c r="H14" s="193"/>
      <c r="I14" s="193"/>
      <c r="J14" s="193"/>
      <c r="K14" s="193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</row>
    <row r="15" spans="1:34" ht="18" customHeight="1" x14ac:dyDescent="0.25">
      <c r="B15" s="278" t="s">
        <v>19</v>
      </c>
      <c r="D15" s="279"/>
      <c r="E15" s="279"/>
      <c r="F15" s="279"/>
      <c r="G15" s="279"/>
      <c r="H15" s="279"/>
      <c r="I15" s="279"/>
      <c r="J15" s="279"/>
      <c r="K15" s="279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</row>
    <row r="16" spans="1:34" x14ac:dyDescent="0.25">
      <c r="D16" s="278"/>
      <c r="E16" s="278"/>
      <c r="F16" s="278"/>
      <c r="G16" s="278"/>
      <c r="H16" s="278"/>
      <c r="I16" s="278"/>
      <c r="J16" s="280"/>
      <c r="K16" s="278"/>
      <c r="W16" s="187"/>
      <c r="X16" s="187"/>
      <c r="Y16" s="187"/>
      <c r="Z16" s="187"/>
      <c r="AA16" s="187"/>
      <c r="AB16" s="187"/>
      <c r="AC16" s="187"/>
      <c r="AD16" s="187"/>
      <c r="AE16" s="187"/>
      <c r="AF16" s="187"/>
      <c r="AG16" s="187"/>
      <c r="AH16" s="187"/>
    </row>
    <row r="17" spans="3:34" x14ac:dyDescent="0.25">
      <c r="W17" s="187"/>
      <c r="X17" s="187"/>
      <c r="Y17" s="187"/>
      <c r="Z17" s="187"/>
      <c r="AA17" s="187"/>
      <c r="AB17" s="187"/>
      <c r="AC17" s="187"/>
      <c r="AD17" s="187"/>
      <c r="AE17" s="187"/>
      <c r="AF17" s="187"/>
      <c r="AG17" s="187"/>
      <c r="AH17" s="187"/>
    </row>
    <row r="18" spans="3:34" x14ac:dyDescent="0.25">
      <c r="V18" s="281"/>
      <c r="W18" s="187"/>
      <c r="X18" s="187"/>
      <c r="Y18" s="187"/>
      <c r="Z18" s="187"/>
      <c r="AA18" s="187"/>
      <c r="AB18" s="187"/>
      <c r="AC18" s="187"/>
      <c r="AD18" s="187"/>
      <c r="AE18" s="187"/>
      <c r="AF18" s="187"/>
      <c r="AG18" s="187"/>
      <c r="AH18" s="187"/>
    </row>
    <row r="19" spans="3:34" x14ac:dyDescent="0.25">
      <c r="W19" s="187"/>
      <c r="X19" s="187"/>
      <c r="Y19" s="187"/>
      <c r="Z19" s="187"/>
      <c r="AA19" s="187"/>
      <c r="AB19" s="187"/>
      <c r="AC19" s="187"/>
      <c r="AD19" s="187"/>
      <c r="AE19" s="187"/>
      <c r="AF19" s="187"/>
      <c r="AG19" s="187"/>
      <c r="AH19" s="187"/>
    </row>
    <row r="20" spans="3:34" x14ac:dyDescent="0.25">
      <c r="W20" s="187"/>
      <c r="X20" s="187"/>
      <c r="Y20" s="187"/>
      <c r="Z20" s="187"/>
      <c r="AA20" s="187"/>
      <c r="AB20" s="187"/>
      <c r="AC20" s="187"/>
      <c r="AD20" s="187"/>
      <c r="AE20" s="187"/>
      <c r="AF20" s="187"/>
      <c r="AG20" s="187"/>
      <c r="AH20" s="187"/>
    </row>
    <row r="21" spans="3:34" x14ac:dyDescent="0.25">
      <c r="D21" s="281"/>
      <c r="E21" s="281"/>
      <c r="F21" s="281"/>
      <c r="G21" s="281"/>
      <c r="H21" s="281"/>
      <c r="I21" s="281"/>
      <c r="J21" s="281"/>
      <c r="K21" s="281"/>
      <c r="W21" s="187"/>
      <c r="X21" s="187"/>
      <c r="Y21" s="187"/>
      <c r="Z21" s="187"/>
      <c r="AA21" s="187"/>
      <c r="AB21" s="187"/>
      <c r="AC21" s="187"/>
      <c r="AD21" s="187"/>
      <c r="AE21" s="187"/>
      <c r="AF21" s="187"/>
      <c r="AG21" s="187"/>
      <c r="AH21" s="187"/>
    </row>
    <row r="22" spans="3:34" x14ac:dyDescent="0.25"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</row>
    <row r="23" spans="3:34" x14ac:dyDescent="0.25"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</row>
    <row r="24" spans="3:34" x14ac:dyDescent="0.25">
      <c r="C24" s="282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7"/>
    </row>
    <row r="25" spans="3:34" x14ac:dyDescent="0.25">
      <c r="W25" s="187"/>
      <c r="X25" s="187"/>
      <c r="Y25" s="187"/>
      <c r="Z25" s="187"/>
      <c r="AA25" s="187"/>
      <c r="AB25" s="187"/>
      <c r="AC25" s="187"/>
      <c r="AD25" s="187"/>
      <c r="AE25" s="187"/>
      <c r="AF25" s="187"/>
      <c r="AG25" s="187"/>
      <c r="AH25" s="187"/>
    </row>
  </sheetData>
  <mergeCells count="21">
    <mergeCell ref="S4:S6"/>
    <mergeCell ref="T4:T6"/>
    <mergeCell ref="U4:U6"/>
    <mergeCell ref="V4:V6"/>
    <mergeCell ref="E5:E6"/>
    <mergeCell ref="F5:F6"/>
    <mergeCell ref="G5:G6"/>
    <mergeCell ref="H5:H6"/>
    <mergeCell ref="I5:J5"/>
    <mergeCell ref="L5:N5"/>
    <mergeCell ref="O5:Q5"/>
    <mergeCell ref="D4:D6"/>
    <mergeCell ref="E4:H4"/>
    <mergeCell ref="I4:K4"/>
    <mergeCell ref="L4:Q4"/>
    <mergeCell ref="R4:R6"/>
    <mergeCell ref="B2:I2"/>
    <mergeCell ref="L2:V2"/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16"/>
  <sheetViews>
    <sheetView workbookViewId="0">
      <selection activeCell="P15" sqref="P15"/>
    </sheetView>
  </sheetViews>
  <sheetFormatPr defaultRowHeight="15" x14ac:dyDescent="0.25"/>
  <cols>
    <col min="1" max="1" width="9.140625" style="125"/>
    <col min="2" max="2" width="19.42578125" style="125" customWidth="1"/>
    <col min="3" max="3" width="9.42578125" style="125" bestFit="1" customWidth="1"/>
    <col min="4" max="5" width="14" style="125" customWidth="1"/>
    <col min="6" max="6" width="13.42578125" style="125" customWidth="1"/>
    <col min="7" max="7" width="19.140625" style="125" customWidth="1"/>
    <col min="8" max="8" width="9.42578125" style="125" bestFit="1" customWidth="1"/>
    <col min="9" max="9" width="13.7109375" style="125" customWidth="1"/>
    <col min="10" max="10" width="13" style="125" customWidth="1"/>
    <col min="11" max="11" width="13.140625" style="125" customWidth="1"/>
    <col min="12" max="12" width="14.5703125" style="125" customWidth="1"/>
    <col min="13" max="13" width="13.5703125" style="125" customWidth="1"/>
    <col min="14" max="14" width="13.140625" style="125" customWidth="1"/>
    <col min="15" max="16384" width="9.140625" style="125"/>
  </cols>
  <sheetData>
    <row r="1" spans="1:16" x14ac:dyDescent="0.25">
      <c r="B1" s="180" t="s">
        <v>97</v>
      </c>
      <c r="C1" s="182" t="s">
        <v>49</v>
      </c>
      <c r="D1" s="183"/>
      <c r="E1" s="183"/>
      <c r="F1" s="184"/>
      <c r="G1" s="180" t="s">
        <v>98</v>
      </c>
      <c r="H1" s="182" t="s">
        <v>49</v>
      </c>
      <c r="I1" s="183"/>
      <c r="J1" s="183"/>
      <c r="K1" s="184"/>
      <c r="L1" s="180" t="s">
        <v>99</v>
      </c>
      <c r="M1" s="180" t="s">
        <v>100</v>
      </c>
    </row>
    <row r="2" spans="1:16" ht="52.5" customHeight="1" x14ac:dyDescent="0.25">
      <c r="B2" s="181"/>
      <c r="C2" s="126" t="s">
        <v>101</v>
      </c>
      <c r="D2" s="126" t="s">
        <v>102</v>
      </c>
      <c r="E2" s="126" t="s">
        <v>41</v>
      </c>
      <c r="F2" s="126" t="s">
        <v>103</v>
      </c>
      <c r="G2" s="181"/>
      <c r="H2" s="126" t="s">
        <v>101</v>
      </c>
      <c r="I2" s="126" t="s">
        <v>102</v>
      </c>
      <c r="J2" s="126" t="s">
        <v>41</v>
      </c>
      <c r="K2" s="126" t="s">
        <v>103</v>
      </c>
      <c r="L2" s="181"/>
      <c r="M2" s="181"/>
    </row>
    <row r="3" spans="1:16" ht="52.5" customHeight="1" x14ac:dyDescent="0.25">
      <c r="A3" s="132" t="s">
        <v>104</v>
      </c>
      <c r="B3" s="129" t="e">
        <f>ROUND(#REF!,5)</f>
        <v>#REF!</v>
      </c>
      <c r="C3" s="129">
        <v>0</v>
      </c>
      <c r="D3" s="129" t="e">
        <f>#REF!</f>
        <v>#REF!</v>
      </c>
      <c r="E3" s="129" t="e">
        <f>#REF!</f>
        <v>#REF!</v>
      </c>
      <c r="F3" s="129" t="e">
        <f>B3-C3-D3-E3</f>
        <v>#REF!</v>
      </c>
      <c r="G3" s="129" t="e">
        <f>ROUND(#REF!,5)</f>
        <v>#REF!</v>
      </c>
      <c r="H3" s="129">
        <f t="shared" ref="H3" si="0">C3</f>
        <v>0</v>
      </c>
      <c r="I3" s="129" t="e">
        <f>#REF!</f>
        <v>#REF!</v>
      </c>
      <c r="J3" s="129" t="e">
        <f>#REF!</f>
        <v>#REF!</v>
      </c>
      <c r="K3" s="129" t="e">
        <f>G3-H3-I3-J3</f>
        <v>#REF!</v>
      </c>
      <c r="L3" s="129">
        <v>0</v>
      </c>
      <c r="M3" s="131">
        <f>2097.72149-M4</f>
        <v>906.31078000000002</v>
      </c>
      <c r="N3" s="134" t="e">
        <f>#REF!</f>
        <v>#REF!</v>
      </c>
    </row>
    <row r="4" spans="1:16" x14ac:dyDescent="0.25">
      <c r="A4" s="133">
        <v>2016</v>
      </c>
      <c r="B4" s="129" t="e">
        <f>ROUND(#REF!,5)</f>
        <v>#REF!</v>
      </c>
      <c r="C4" s="129">
        <v>0</v>
      </c>
      <c r="D4" s="129" t="e">
        <f>#REF!</f>
        <v>#REF!</v>
      </c>
      <c r="E4" s="129" t="e">
        <f>#REF!</f>
        <v>#REF!</v>
      </c>
      <c r="F4" s="129" t="e">
        <f t="shared" ref="F4:F9" si="1">B4-C4-D4-E4</f>
        <v>#REF!</v>
      </c>
      <c r="G4" s="129" t="e">
        <f>ROUND(#REF!,5)</f>
        <v>#REF!</v>
      </c>
      <c r="H4" s="129">
        <v>0</v>
      </c>
      <c r="I4" s="129" t="e">
        <f>#REF!</f>
        <v>#REF!</v>
      </c>
      <c r="J4" s="129" t="e">
        <f>#REF!</f>
        <v>#REF!</v>
      </c>
      <c r="K4" s="129" t="e">
        <f t="shared" ref="K4:K9" si="2">G4-H4-I4-J4</f>
        <v>#REF!</v>
      </c>
      <c r="L4" s="129">
        <v>0</v>
      </c>
      <c r="M4" s="131">
        <v>1191.4107099999999</v>
      </c>
      <c r="N4" s="134" t="e">
        <f>#REF!</f>
        <v>#REF!</v>
      </c>
    </row>
    <row r="5" spans="1:16" x14ac:dyDescent="0.25">
      <c r="A5" s="133">
        <v>2017</v>
      </c>
      <c r="B5" s="129" t="e">
        <f>ROUND(#REF!,5)</f>
        <v>#REF!</v>
      </c>
      <c r="C5" s="129">
        <v>0</v>
      </c>
      <c r="D5" s="129" t="e">
        <f>#REF!</f>
        <v>#REF!</v>
      </c>
      <c r="E5" s="129" t="e">
        <f>#REF!</f>
        <v>#REF!</v>
      </c>
      <c r="F5" s="129" t="e">
        <f t="shared" si="1"/>
        <v>#REF!</v>
      </c>
      <c r="G5" s="129" t="e">
        <f>ROUND(#REF!,5)</f>
        <v>#REF!</v>
      </c>
      <c r="H5" s="129">
        <v>0</v>
      </c>
      <c r="I5" s="129" t="e">
        <f>#REF!</f>
        <v>#REF!</v>
      </c>
      <c r="J5" s="129" t="e">
        <f>#REF!</f>
        <v>#REF!</v>
      </c>
      <c r="K5" s="129" t="e">
        <f t="shared" si="2"/>
        <v>#REF!</v>
      </c>
      <c r="L5" s="129">
        <v>0</v>
      </c>
      <c r="M5" s="131">
        <v>1809.8986199999999</v>
      </c>
      <c r="N5" s="134" t="e">
        <f>#REF!</f>
        <v>#REF!</v>
      </c>
    </row>
    <row r="6" spans="1:16" x14ac:dyDescent="0.25">
      <c r="A6" s="133">
        <v>2018</v>
      </c>
      <c r="B6" s="129">
        <f>ROUND('(2018)'!R36,5)</f>
        <v>101460.34908</v>
      </c>
      <c r="C6" s="129">
        <v>0</v>
      </c>
      <c r="D6" s="129">
        <f>'(2018)'!P36</f>
        <v>61223.575677656103</v>
      </c>
      <c r="E6" s="129">
        <f>'(2018)'!O36</f>
        <v>16143.262712017991</v>
      </c>
      <c r="F6" s="129">
        <f t="shared" si="1"/>
        <v>24093.510690325907</v>
      </c>
      <c r="G6" s="129">
        <f>ROUND('(2018)'!R38,5)</f>
        <v>71281.438349999997</v>
      </c>
      <c r="H6" s="129">
        <v>0</v>
      </c>
      <c r="I6" s="129">
        <f>'(2018)'!P38</f>
        <v>42856.502974359268</v>
      </c>
      <c r="J6" s="129">
        <f>'(2018)'!O38</f>
        <v>11300.283898412594</v>
      </c>
      <c r="K6" s="129">
        <f t="shared" si="2"/>
        <v>17124.651477228137</v>
      </c>
      <c r="L6" s="129" t="e">
        <f>#REF!</f>
        <v>#REF!</v>
      </c>
      <c r="M6" s="127" t="e">
        <f>G6-L6</f>
        <v>#REF!</v>
      </c>
      <c r="N6" s="134">
        <f>'(2018)'!R35</f>
        <v>67112.275598476757</v>
      </c>
    </row>
    <row r="7" spans="1:16" x14ac:dyDescent="0.25">
      <c r="A7" s="128">
        <v>2019</v>
      </c>
      <c r="B7" s="127">
        <f>ROUND('(2019)'!R36,5)</f>
        <v>99830.334229999993</v>
      </c>
      <c r="C7" s="127">
        <v>0</v>
      </c>
      <c r="D7" s="127">
        <f>'(2019)'!P36</f>
        <v>61059.831078681425</v>
      </c>
      <c r="E7" s="127">
        <v>15782.550800000001</v>
      </c>
      <c r="F7" s="127">
        <f t="shared" si="1"/>
        <v>22987.952351318567</v>
      </c>
      <c r="G7" s="127">
        <v>69881.233959999998</v>
      </c>
      <c r="H7" s="127">
        <v>0</v>
      </c>
      <c r="I7" s="127">
        <v>42741.881759999997</v>
      </c>
      <c r="J7" s="127">
        <v>11047.78556</v>
      </c>
      <c r="K7" s="127">
        <f t="shared" si="2"/>
        <v>16091.566640000001</v>
      </c>
      <c r="L7" s="127">
        <v>68296.584419999999</v>
      </c>
      <c r="M7" s="127">
        <v>1584.6495399999999</v>
      </c>
      <c r="N7" s="134">
        <f>'(2019)'!R35</f>
        <v>64812.051364994608</v>
      </c>
    </row>
    <row r="8" spans="1:16" x14ac:dyDescent="0.25">
      <c r="A8" s="128">
        <v>2020</v>
      </c>
      <c r="B8" s="129">
        <v>85714.288570000004</v>
      </c>
      <c r="C8" s="129">
        <v>0</v>
      </c>
      <c r="D8" s="129">
        <v>51513.470079999999</v>
      </c>
      <c r="E8" s="129">
        <v>13399.698479999999</v>
      </c>
      <c r="F8" s="129">
        <f t="shared" si="1"/>
        <v>20801.120010000006</v>
      </c>
      <c r="G8" s="129">
        <v>60000.002</v>
      </c>
      <c r="H8" s="129">
        <v>0</v>
      </c>
      <c r="I8" s="129">
        <v>36059.429049999999</v>
      </c>
      <c r="J8" s="129">
        <v>9379.7889400000004</v>
      </c>
      <c r="K8" s="129">
        <f t="shared" si="2"/>
        <v>14560.784010000001</v>
      </c>
      <c r="L8" s="129">
        <v>58845.433250000002</v>
      </c>
      <c r="M8" s="129">
        <v>1154.5687499999999</v>
      </c>
      <c r="N8" s="134">
        <f>'(2020)'!R35</f>
        <v>52168.891092600934</v>
      </c>
    </row>
    <row r="9" spans="1:16" x14ac:dyDescent="0.25">
      <c r="A9" s="128">
        <v>2021</v>
      </c>
      <c r="B9" s="127">
        <v>85702.614289999998</v>
      </c>
      <c r="C9" s="127">
        <v>0</v>
      </c>
      <c r="D9" s="127">
        <v>51476.003720000001</v>
      </c>
      <c r="E9" s="127">
        <v>13392.541660000001</v>
      </c>
      <c r="F9" s="127">
        <f t="shared" si="1"/>
        <v>20834.068909999995</v>
      </c>
      <c r="G9" s="127">
        <v>59991.83</v>
      </c>
      <c r="H9" s="127">
        <v>0</v>
      </c>
      <c r="I9" s="127">
        <v>36033.202599999997</v>
      </c>
      <c r="J9" s="127">
        <v>9374.77916</v>
      </c>
      <c r="K9" s="127">
        <f t="shared" si="2"/>
        <v>14583.848240000005</v>
      </c>
      <c r="L9" s="127">
        <v>58809.881820000002</v>
      </c>
      <c r="M9" s="127">
        <v>1181.9481800000001</v>
      </c>
      <c r="N9" s="134">
        <f>'(2021)'!R35</f>
        <v>50155.563162769758</v>
      </c>
    </row>
    <row r="10" spans="1:16" x14ac:dyDescent="0.25">
      <c r="A10" s="130" t="s">
        <v>105</v>
      </c>
      <c r="B10" s="127" t="e">
        <f t="shared" ref="B10:N10" si="3">SUM(B3:B9)</f>
        <v>#REF!</v>
      </c>
      <c r="C10" s="127">
        <f t="shared" si="3"/>
        <v>0</v>
      </c>
      <c r="D10" s="127" t="e">
        <f t="shared" si="3"/>
        <v>#REF!</v>
      </c>
      <c r="E10" s="127" t="e">
        <f t="shared" si="3"/>
        <v>#REF!</v>
      </c>
      <c r="F10" s="127" t="e">
        <f t="shared" si="3"/>
        <v>#REF!</v>
      </c>
      <c r="G10" s="127" t="e">
        <f t="shared" si="3"/>
        <v>#REF!</v>
      </c>
      <c r="H10" s="127">
        <f t="shared" si="3"/>
        <v>0</v>
      </c>
      <c r="I10" s="127" t="e">
        <f t="shared" si="3"/>
        <v>#REF!</v>
      </c>
      <c r="J10" s="127" t="e">
        <f t="shared" si="3"/>
        <v>#REF!</v>
      </c>
      <c r="K10" s="127" t="e">
        <f t="shared" si="3"/>
        <v>#REF!</v>
      </c>
      <c r="L10" s="127" t="e">
        <f t="shared" si="3"/>
        <v>#REF!</v>
      </c>
      <c r="M10" s="127" t="e">
        <f>SUM(M3:M9)</f>
        <v>#REF!</v>
      </c>
      <c r="N10" s="127" t="e">
        <f t="shared" si="3"/>
        <v>#REF!</v>
      </c>
    </row>
    <row r="12" spans="1:16" x14ac:dyDescent="0.25">
      <c r="A12" s="128">
        <v>2022</v>
      </c>
      <c r="B12" s="127">
        <v>108296.58573999999</v>
      </c>
      <c r="C12" s="127">
        <v>0</v>
      </c>
      <c r="D12" s="127">
        <v>68371.749367989731</v>
      </c>
      <c r="E12" s="127">
        <v>16985.812587817571</v>
      </c>
      <c r="F12" s="127">
        <f t="shared" ref="F12" si="4">B12-C12-D12-E12</f>
        <v>22939.023784192694</v>
      </c>
      <c r="G12" s="127">
        <v>75807.610019999993</v>
      </c>
      <c r="H12" s="127">
        <v>0</v>
      </c>
      <c r="I12" s="127">
        <v>47860.22455759281</v>
      </c>
      <c r="J12" s="127">
        <v>11890.068811472298</v>
      </c>
      <c r="K12" s="127">
        <f t="shared" ref="K12" si="5">G12-H12-I12-J12</f>
        <v>16057.316650934885</v>
      </c>
      <c r="L12" s="127">
        <v>74443.145000000004</v>
      </c>
      <c r="M12" s="127">
        <f>G12-L12</f>
        <v>1364.4650199999887</v>
      </c>
      <c r="N12" s="134">
        <v>62146.700750606964</v>
      </c>
      <c r="P12" s="125">
        <v>62146.700750606964</v>
      </c>
    </row>
    <row r="13" spans="1:16" x14ac:dyDescent="0.25">
      <c r="A13" s="128">
        <v>2023</v>
      </c>
      <c r="B13" s="127">
        <v>108572.08194</v>
      </c>
      <c r="C13" s="127">
        <v>0</v>
      </c>
      <c r="D13" s="127">
        <v>64841.914603467623</v>
      </c>
      <c r="E13" s="127">
        <v>16614.208128571325</v>
      </c>
      <c r="F13" s="127">
        <f t="shared" ref="F13:F15" si="6">B13-C13-D13-E13</f>
        <v>27115.959207961056</v>
      </c>
      <c r="G13" s="127">
        <v>76000.45736</v>
      </c>
      <c r="H13" s="127">
        <v>0</v>
      </c>
      <c r="I13" s="127">
        <v>45389.34022242733</v>
      </c>
      <c r="J13" s="127">
        <v>11629.945689999926</v>
      </c>
      <c r="K13" s="127">
        <f t="shared" ref="K13:K15" si="7">G13-H13-I13-J13</f>
        <v>18981.171447572742</v>
      </c>
      <c r="L13" s="127">
        <v>74492.695770000006</v>
      </c>
      <c r="M13" s="127">
        <f>G13-L13</f>
        <v>1507.7615899999946</v>
      </c>
      <c r="N13" s="134">
        <v>59793.470287095268</v>
      </c>
      <c r="P13" s="125">
        <v>59793.470287095297</v>
      </c>
    </row>
    <row r="14" spans="1:16" x14ac:dyDescent="0.25">
      <c r="A14" s="128">
        <v>2024</v>
      </c>
      <c r="B14" s="127">
        <v>108651.96725</v>
      </c>
      <c r="C14" s="127">
        <v>0</v>
      </c>
      <c r="D14" s="127">
        <v>63297.323995103856</v>
      </c>
      <c r="E14" s="127">
        <v>16701.447566148425</v>
      </c>
      <c r="F14" s="127">
        <f t="shared" si="6"/>
        <v>28653.195688747721</v>
      </c>
      <c r="G14" s="127">
        <v>76056.377080000006</v>
      </c>
      <c r="H14" s="127">
        <v>0</v>
      </c>
      <c r="I14" s="127">
        <v>44308.126796572695</v>
      </c>
      <c r="J14" s="127">
        <v>11691.013296303896</v>
      </c>
      <c r="K14" s="127">
        <f t="shared" si="7"/>
        <v>20057.236987123415</v>
      </c>
      <c r="L14" s="127">
        <v>73378.460869999995</v>
      </c>
      <c r="M14" s="127">
        <f t="shared" ref="M14:M15" si="8">G14-L14</f>
        <v>2677.9162100000103</v>
      </c>
      <c r="N14" s="134">
        <v>57425.590409140088</v>
      </c>
      <c r="P14" s="125">
        <v>57425.590409140103</v>
      </c>
    </row>
    <row r="15" spans="1:16" x14ac:dyDescent="0.25">
      <c r="A15" s="128">
        <v>2025</v>
      </c>
      <c r="B15" s="127">
        <v>108440.75516</v>
      </c>
      <c r="C15" s="127">
        <v>0</v>
      </c>
      <c r="D15" s="127">
        <v>62926.559048954296</v>
      </c>
      <c r="E15" s="127">
        <v>16624.128188500697</v>
      </c>
      <c r="F15" s="127">
        <f t="shared" si="6"/>
        <v>28890.067922545008</v>
      </c>
      <c r="G15" s="127">
        <v>75908.528609999994</v>
      </c>
      <c r="H15" s="127">
        <v>0</v>
      </c>
      <c r="I15" s="127">
        <v>44048.591334268007</v>
      </c>
      <c r="J15" s="127">
        <v>11636.889731950487</v>
      </c>
      <c r="K15" s="127">
        <f t="shared" si="7"/>
        <v>20223.0475437815</v>
      </c>
      <c r="L15" s="127">
        <v>73235.818090000001</v>
      </c>
      <c r="M15" s="127">
        <f t="shared" si="8"/>
        <v>2672.7105199999933</v>
      </c>
      <c r="N15" s="134">
        <v>55003.799362382444</v>
      </c>
      <c r="P15" s="125">
        <v>55003.7993623824</v>
      </c>
    </row>
    <row r="16" spans="1:16" x14ac:dyDescent="0.25">
      <c r="A16" s="130" t="s">
        <v>105</v>
      </c>
      <c r="B16" s="127">
        <f>SUM(B12:B15)</f>
        <v>433961.39009</v>
      </c>
      <c r="C16" s="127">
        <f t="shared" ref="C16:N16" si="9">SUM(C12:C15)</f>
        <v>0</v>
      </c>
      <c r="D16" s="127">
        <f t="shared" si="9"/>
        <v>259437.54701551551</v>
      </c>
      <c r="E16" s="127">
        <f t="shared" si="9"/>
        <v>66925.596471038021</v>
      </c>
      <c r="F16" s="127">
        <f t="shared" si="9"/>
        <v>107598.24660344649</v>
      </c>
      <c r="G16" s="127">
        <f t="shared" si="9"/>
        <v>303772.97307000001</v>
      </c>
      <c r="H16" s="127">
        <f t="shared" si="9"/>
        <v>0</v>
      </c>
      <c r="I16" s="127">
        <f t="shared" si="9"/>
        <v>181606.28291086084</v>
      </c>
      <c r="J16" s="127">
        <f t="shared" si="9"/>
        <v>46847.917529726605</v>
      </c>
      <c r="K16" s="127">
        <f t="shared" si="9"/>
        <v>75318.772629412546</v>
      </c>
      <c r="L16" s="127">
        <f t="shared" si="9"/>
        <v>295550.11973000003</v>
      </c>
      <c r="M16" s="127">
        <f t="shared" si="9"/>
        <v>8222.8533399999869</v>
      </c>
      <c r="N16" s="127">
        <f t="shared" si="9"/>
        <v>234369.56080922479</v>
      </c>
      <c r="P16" s="125">
        <v>234369.56080922479</v>
      </c>
    </row>
  </sheetData>
  <mergeCells count="6">
    <mergeCell ref="M1:M2"/>
    <mergeCell ref="B1:B2"/>
    <mergeCell ref="C1:F1"/>
    <mergeCell ref="G1:G2"/>
    <mergeCell ref="H1:K1"/>
    <mergeCell ref="L1:L2"/>
  </mergeCells>
  <conditionalFormatting sqref="G1:H1 H2:K2 C2:F2 B1:C1">
    <cfRule type="cellIs" dxfId="5" priority="5" operator="lessThan">
      <formula>0</formula>
    </cfRule>
    <cfRule type="cellIs" dxfId="4" priority="6" operator="equal">
      <formula>0</formula>
    </cfRule>
  </conditionalFormatting>
  <conditionalFormatting sqref="L1">
    <cfRule type="cellIs" dxfId="3" priority="3" operator="lessThan">
      <formula>0</formula>
    </cfRule>
    <cfRule type="cellIs" dxfId="2" priority="4" operator="equal">
      <formula>0</formula>
    </cfRule>
  </conditionalFormatting>
  <conditionalFormatting sqref="M1">
    <cfRule type="cellIs" dxfId="1" priority="1" operator="lessThan">
      <formula>0</formula>
    </cfRule>
    <cfRule type="cellIs" dxfId="0" priority="2" operator="equal">
      <formula>0</formula>
    </cfRule>
  </conditionalFormatting>
  <pageMargins left="0" right="0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(2018)</vt:lpstr>
      <vt:lpstr>(2019)</vt:lpstr>
      <vt:lpstr>(2020)</vt:lpstr>
      <vt:lpstr>(2021)</vt:lpstr>
      <vt:lpstr>Расчет с НДС</vt:lpstr>
      <vt:lpstr>свод</vt:lpstr>
      <vt:lpstr>'(2018)'!Заголовки_для_печати</vt:lpstr>
      <vt:lpstr>'(2019)'!Заголовки_для_печати</vt:lpstr>
      <vt:lpstr>'(2020)'!Заголовки_для_печати</vt:lpstr>
      <vt:lpstr>'(2021)'!Заголовки_для_печати</vt:lpstr>
      <vt:lpstr>'(2018)'!Область_печати</vt:lpstr>
      <vt:lpstr>'(2019)'!Область_печати</vt:lpstr>
      <vt:lpstr>'(2020)'!Область_печати</vt:lpstr>
      <vt:lpstr>'(2021)'!Область_печати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2019-04-15T05:53:28Z</dcterms:modified>
</cp:coreProperties>
</file>